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kanu\Desktop\UPDATED STAT ANNEX AS AT DECEMBER, 2016\FISCAL DATA\"/>
    </mc:Choice>
  </mc:AlternateContent>
  <bookViews>
    <workbookView xWindow="915" yWindow="225" windowWidth="9720" windowHeight="6030"/>
  </bookViews>
  <sheets>
    <sheet name="REV &amp; EXP" sheetId="4" r:id="rId1"/>
    <sheet name="TBS" sheetId="2" r:id="rId2"/>
    <sheet name="TBBS" sheetId="3" r:id="rId3"/>
    <sheet name="Sheet1" sheetId="5" r:id="rId4"/>
  </sheets>
  <definedNames>
    <definedName name="_xlnm.Print_Area" localSheetId="0">'REV &amp; EXP'!$A$1:$T$337</definedName>
    <definedName name="_xlnm.Print_Area" localSheetId="2">TBBS!$A$1:$F$292</definedName>
    <definedName name="_xlnm.Print_Area" localSheetId="1">TBS!$A$1:$F$364</definedName>
  </definedNames>
  <calcPr calcId="152511"/>
</workbook>
</file>

<file path=xl/calcChain.xml><?xml version="1.0" encoding="utf-8"?>
<calcChain xmlns="http://schemas.openxmlformats.org/spreadsheetml/2006/main">
  <c r="D336" i="2" l="1"/>
  <c r="C336" i="2"/>
  <c r="B336" i="2"/>
  <c r="C290" i="2"/>
  <c r="D290" i="2"/>
  <c r="E290" i="2"/>
  <c r="C291" i="2"/>
  <c r="D291" i="2"/>
  <c r="E291" i="2"/>
  <c r="C292" i="2"/>
  <c r="D292" i="2"/>
  <c r="E292" i="2"/>
  <c r="C293" i="2"/>
  <c r="D293" i="2"/>
  <c r="E293" i="2"/>
  <c r="C296" i="2"/>
  <c r="D296" i="2"/>
  <c r="E296" i="2"/>
  <c r="C297" i="2"/>
  <c r="D297" i="2"/>
  <c r="E297" i="2"/>
  <c r="C298" i="2"/>
  <c r="D298" i="2"/>
  <c r="E298" i="2"/>
  <c r="C299" i="2"/>
  <c r="D299" i="2"/>
  <c r="E299" i="2"/>
  <c r="C302" i="2"/>
  <c r="D302" i="2"/>
  <c r="E302" i="2"/>
  <c r="C303" i="2"/>
  <c r="D303" i="2"/>
  <c r="E303" i="2"/>
  <c r="C304" i="2"/>
  <c r="D304" i="2"/>
  <c r="E304" i="2"/>
  <c r="C305" i="2"/>
  <c r="D305" i="2"/>
  <c r="E305" i="2"/>
  <c r="B305" i="2"/>
  <c r="B304" i="2"/>
  <c r="B303" i="2"/>
  <c r="B302" i="2"/>
  <c r="B299" i="2"/>
  <c r="B298" i="2"/>
  <c r="B297" i="2"/>
  <c r="B296" i="2"/>
  <c r="B293" i="2"/>
  <c r="B292" i="2"/>
  <c r="B291" i="2"/>
  <c r="B290" i="2"/>
  <c r="C231" i="2"/>
  <c r="D231" i="2"/>
  <c r="C232" i="2"/>
  <c r="D232" i="2"/>
  <c r="E232" i="2"/>
  <c r="C233" i="2"/>
  <c r="D233" i="2"/>
  <c r="E233" i="2"/>
  <c r="C234" i="2"/>
  <c r="D234" i="2"/>
  <c r="E234" i="2"/>
  <c r="B234" i="2"/>
  <c r="B233" i="2"/>
  <c r="B232" i="2"/>
  <c r="C198" i="3"/>
  <c r="D198" i="3"/>
  <c r="C199" i="3"/>
  <c r="D199" i="3"/>
  <c r="C200" i="3"/>
  <c r="D200" i="3"/>
  <c r="C201" i="3"/>
  <c r="D201" i="3"/>
  <c r="C204" i="3"/>
  <c r="D204" i="3"/>
  <c r="C205" i="3"/>
  <c r="D205" i="3"/>
  <c r="C206" i="3"/>
  <c r="D206" i="3"/>
  <c r="C207" i="3"/>
  <c r="D207" i="3"/>
  <c r="C210" i="3"/>
  <c r="D210" i="3"/>
  <c r="C211" i="3"/>
  <c r="D211" i="3"/>
  <c r="C212" i="3"/>
  <c r="D212" i="3"/>
  <c r="C213" i="3"/>
  <c r="D213" i="3"/>
  <c r="E213" i="3"/>
  <c r="C216" i="3"/>
  <c r="D216" i="3"/>
  <c r="C217" i="3"/>
  <c r="D217" i="3"/>
  <c r="C218" i="3"/>
  <c r="D218" i="3"/>
  <c r="C219" i="3"/>
  <c r="D219" i="3"/>
  <c r="B219" i="3"/>
  <c r="B218" i="3"/>
  <c r="B217" i="3"/>
  <c r="B216" i="3"/>
  <c r="B213" i="3"/>
  <c r="B212" i="3"/>
  <c r="B211" i="3"/>
  <c r="B210" i="3"/>
  <c r="B207" i="3"/>
  <c r="B206" i="3"/>
  <c r="B204" i="3"/>
  <c r="B205" i="3"/>
  <c r="B201" i="3"/>
  <c r="B200" i="3"/>
  <c r="B199" i="3"/>
  <c r="B198" i="3"/>
  <c r="C180" i="3"/>
  <c r="D180" i="3"/>
  <c r="C181" i="3"/>
  <c r="D181" i="3"/>
  <c r="C182" i="3"/>
  <c r="D182" i="3"/>
  <c r="B182" i="3"/>
  <c r="B181" i="3"/>
  <c r="B180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D275" i="3"/>
  <c r="B275" i="3"/>
  <c r="D274" i="3"/>
  <c r="B274" i="3"/>
  <c r="E274" i="3" s="1"/>
  <c r="D273" i="3"/>
  <c r="B273" i="3"/>
  <c r="D272" i="3"/>
  <c r="B272" i="3"/>
  <c r="E272" i="3" s="1"/>
  <c r="E212" i="3" s="1"/>
  <c r="D271" i="3"/>
  <c r="B271" i="3"/>
  <c r="E271" i="3" s="1"/>
  <c r="D270" i="3"/>
  <c r="B270" i="3"/>
  <c r="D269" i="3"/>
  <c r="B269" i="3"/>
  <c r="E269" i="3" s="1"/>
  <c r="E211" i="3" s="1"/>
  <c r="D268" i="3"/>
  <c r="B268" i="3"/>
  <c r="D267" i="3"/>
  <c r="B266" i="3"/>
  <c r="B267" i="3"/>
  <c r="D266" i="3"/>
  <c r="D265" i="3"/>
  <c r="B265" i="3"/>
  <c r="D264" i="3"/>
  <c r="B264" i="3"/>
  <c r="E264" i="3" s="1"/>
  <c r="E263" i="3"/>
  <c r="E265" i="3"/>
  <c r="E267" i="3"/>
  <c r="E268" i="3"/>
  <c r="E273" i="3"/>
  <c r="E275" i="3"/>
  <c r="E181" i="3" s="1"/>
  <c r="D287" i="2"/>
  <c r="C334" i="4"/>
  <c r="F334" i="4"/>
  <c r="I334" i="4"/>
  <c r="N334" i="4"/>
  <c r="O334" i="4"/>
  <c r="R334" i="4"/>
  <c r="C335" i="4"/>
  <c r="F335" i="4"/>
  <c r="I335" i="4"/>
  <c r="N335" i="4"/>
  <c r="O335" i="4"/>
  <c r="R335" i="4"/>
  <c r="C336" i="4"/>
  <c r="F336" i="4"/>
  <c r="I336" i="4"/>
  <c r="N336" i="4"/>
  <c r="O336" i="4"/>
  <c r="R336" i="4"/>
  <c r="C337" i="4"/>
  <c r="F337" i="4"/>
  <c r="I337" i="4"/>
  <c r="N337" i="4"/>
  <c r="O337" i="4"/>
  <c r="R337" i="4"/>
  <c r="B337" i="4"/>
  <c r="B336" i="4"/>
  <c r="B335" i="4"/>
  <c r="B334" i="4"/>
  <c r="C286" i="4"/>
  <c r="F286" i="4"/>
  <c r="I286" i="4"/>
  <c r="N286" i="4"/>
  <c r="O286" i="4"/>
  <c r="R286" i="4"/>
  <c r="B286" i="4"/>
  <c r="D287" i="3"/>
  <c r="B287" i="3"/>
  <c r="D288" i="3"/>
  <c r="B288" i="3"/>
  <c r="D289" i="3"/>
  <c r="B289" i="3"/>
  <c r="D361" i="2"/>
  <c r="C361" i="2"/>
  <c r="B361" i="2"/>
  <c r="D360" i="2"/>
  <c r="C360" i="2"/>
  <c r="B360" i="2"/>
  <c r="D359" i="2"/>
  <c r="C359" i="2"/>
  <c r="B359" i="2"/>
  <c r="M378" i="4"/>
  <c r="M381" i="4"/>
  <c r="M380" i="4"/>
  <c r="M379" i="4"/>
  <c r="M337" i="4" s="1"/>
  <c r="K381" i="4"/>
  <c r="K380" i="4"/>
  <c r="K379" i="4"/>
  <c r="K337" i="4" s="1"/>
  <c r="H381" i="4"/>
  <c r="H380" i="4"/>
  <c r="H379" i="4"/>
  <c r="H337" i="4" s="1"/>
  <c r="E381" i="4"/>
  <c r="E380" i="4"/>
  <c r="E379" i="4"/>
  <c r="E337" i="4" s="1"/>
  <c r="E270" i="3" l="1"/>
  <c r="E266" i="3"/>
  <c r="E210" i="3" s="1"/>
  <c r="D280" i="3"/>
  <c r="C280" i="3"/>
  <c r="B280" i="3"/>
  <c r="D279" i="3"/>
  <c r="C279" i="3"/>
  <c r="B279" i="3"/>
  <c r="D278" i="3"/>
  <c r="B278" i="3"/>
  <c r="D286" i="3"/>
  <c r="B286" i="3"/>
  <c r="D285" i="3"/>
  <c r="C285" i="3"/>
  <c r="B285" i="3"/>
  <c r="D284" i="3"/>
  <c r="C284" i="3"/>
  <c r="B284" i="3"/>
  <c r="D283" i="3"/>
  <c r="C283" i="3"/>
  <c r="B283" i="3"/>
  <c r="D282" i="3"/>
  <c r="C282" i="3"/>
  <c r="B282" i="3"/>
  <c r="D281" i="3"/>
  <c r="C281" i="3"/>
  <c r="B281" i="3"/>
  <c r="D358" i="2"/>
  <c r="C358" i="2"/>
  <c r="B358" i="2"/>
  <c r="D357" i="2"/>
  <c r="C357" i="2"/>
  <c r="B357" i="2"/>
  <c r="E359" i="2"/>
  <c r="E360" i="2"/>
  <c r="E361" i="2"/>
  <c r="D356" i="2"/>
  <c r="C356" i="2"/>
  <c r="B356" i="2"/>
  <c r="D355" i="2"/>
  <c r="C355" i="2"/>
  <c r="B355" i="2"/>
  <c r="D354" i="2"/>
  <c r="C354" i="2"/>
  <c r="B354" i="2"/>
  <c r="E356" i="2" l="1"/>
  <c r="E357" i="2"/>
  <c r="E358" i="2"/>
  <c r="P378" i="4"/>
  <c r="M377" i="4"/>
  <c r="P377" i="4" s="1"/>
  <c r="M376" i="4"/>
  <c r="K378" i="4"/>
  <c r="K377" i="4"/>
  <c r="K376" i="4"/>
  <c r="K336" i="4" s="1"/>
  <c r="K375" i="4"/>
  <c r="H378" i="4"/>
  <c r="J378" i="4" s="1"/>
  <c r="H377" i="4"/>
  <c r="J377" i="4" s="1"/>
  <c r="H376" i="4"/>
  <c r="E378" i="4"/>
  <c r="G378" i="4" s="1"/>
  <c r="E377" i="4"/>
  <c r="G377" i="4" s="1"/>
  <c r="E376" i="4"/>
  <c r="M375" i="4"/>
  <c r="P375" i="4" s="1"/>
  <c r="M374" i="4"/>
  <c r="P374" i="4" s="1"/>
  <c r="M373" i="4"/>
  <c r="M372" i="4"/>
  <c r="P372" i="4" s="1"/>
  <c r="M371" i="4"/>
  <c r="P371" i="4" s="1"/>
  <c r="M370" i="4"/>
  <c r="K374" i="4"/>
  <c r="K373" i="4"/>
  <c r="K372" i="4"/>
  <c r="K371" i="4"/>
  <c r="K370" i="4"/>
  <c r="H375" i="4"/>
  <c r="J375" i="4" s="1"/>
  <c r="H374" i="4"/>
  <c r="J374" i="4" s="1"/>
  <c r="H373" i="4"/>
  <c r="H372" i="4"/>
  <c r="J372" i="4" s="1"/>
  <c r="H371" i="4"/>
  <c r="J371" i="4" s="1"/>
  <c r="H370" i="4"/>
  <c r="E375" i="4"/>
  <c r="G375" i="4" s="1"/>
  <c r="E374" i="4"/>
  <c r="G374" i="4" s="1"/>
  <c r="E373" i="4"/>
  <c r="E372" i="4"/>
  <c r="G372" i="4" s="1"/>
  <c r="E371" i="4"/>
  <c r="G371" i="4" s="1"/>
  <c r="E370" i="4"/>
  <c r="D370" i="4"/>
  <c r="D371" i="4"/>
  <c r="D372" i="4"/>
  <c r="D373" i="4"/>
  <c r="D374" i="4"/>
  <c r="D375" i="4"/>
  <c r="D376" i="4"/>
  <c r="D377" i="4"/>
  <c r="D378" i="4"/>
  <c r="D379" i="4"/>
  <c r="D337" i="4" s="1"/>
  <c r="D380" i="4"/>
  <c r="D381" i="4"/>
  <c r="J380" i="4"/>
  <c r="J381" i="4"/>
  <c r="G380" i="4"/>
  <c r="G381" i="4"/>
  <c r="G373" i="4"/>
  <c r="G335" i="4" s="1"/>
  <c r="G379" i="4"/>
  <c r="G337" i="4" s="1"/>
  <c r="J379" i="4"/>
  <c r="S368" i="4"/>
  <c r="S369" i="4"/>
  <c r="P370" i="4"/>
  <c r="P379" i="4"/>
  <c r="P380" i="4"/>
  <c r="P381" i="4"/>
  <c r="P334" i="4" l="1"/>
  <c r="J376" i="4"/>
  <c r="J336" i="4" s="1"/>
  <c r="H336" i="4"/>
  <c r="D334" i="4"/>
  <c r="D286" i="4"/>
  <c r="E335" i="4"/>
  <c r="K335" i="4"/>
  <c r="G376" i="4"/>
  <c r="G336" i="4" s="1"/>
  <c r="E336" i="4"/>
  <c r="D335" i="4"/>
  <c r="G370" i="4"/>
  <c r="E334" i="4"/>
  <c r="E286" i="4"/>
  <c r="K334" i="4"/>
  <c r="K286" i="4"/>
  <c r="P373" i="4"/>
  <c r="P335" i="4" s="1"/>
  <c r="M335" i="4"/>
  <c r="J370" i="4"/>
  <c r="H334" i="4"/>
  <c r="H286" i="4"/>
  <c r="P337" i="4"/>
  <c r="J337" i="4"/>
  <c r="D336" i="4"/>
  <c r="J373" i="4"/>
  <c r="J335" i="4" s="1"/>
  <c r="H335" i="4"/>
  <c r="M334" i="4"/>
  <c r="M286" i="4"/>
  <c r="P376" i="4"/>
  <c r="P336" i="4" s="1"/>
  <c r="M336" i="4"/>
  <c r="L379" i="4"/>
  <c r="L376" i="4"/>
  <c r="L377" i="4"/>
  <c r="Q377" i="4" s="1"/>
  <c r="S377" i="4" s="1"/>
  <c r="L378" i="4"/>
  <c r="Q378" i="4" s="1"/>
  <c r="S378" i="4" s="1"/>
  <c r="L375" i="4"/>
  <c r="Q375" i="4" s="1"/>
  <c r="S375" i="4" s="1"/>
  <c r="L373" i="4"/>
  <c r="L371" i="4"/>
  <c r="Q371" i="4" s="1"/>
  <c r="S371" i="4" s="1"/>
  <c r="L372" i="4"/>
  <c r="Q372" i="4" s="1"/>
  <c r="S372" i="4" s="1"/>
  <c r="L374" i="4"/>
  <c r="Q374" i="4" s="1"/>
  <c r="S374" i="4" s="1"/>
  <c r="L370" i="4"/>
  <c r="L381" i="4"/>
  <c r="Q381" i="4" s="1"/>
  <c r="S381" i="4" s="1"/>
  <c r="L380" i="4"/>
  <c r="Q380" i="4" s="1"/>
  <c r="S380" i="4" s="1"/>
  <c r="E282" i="3"/>
  <c r="E280" i="3"/>
  <c r="E216" i="3" s="1"/>
  <c r="E279" i="3"/>
  <c r="E276" i="3"/>
  <c r="E277" i="3"/>
  <c r="E278" i="3"/>
  <c r="E283" i="3"/>
  <c r="E217" i="3" s="1"/>
  <c r="E284" i="3"/>
  <c r="E285" i="3"/>
  <c r="E286" i="3"/>
  <c r="E218" i="3" s="1"/>
  <c r="E287" i="3"/>
  <c r="E288" i="3"/>
  <c r="E289" i="3"/>
  <c r="D261" i="3"/>
  <c r="B261" i="3"/>
  <c r="D260" i="3"/>
  <c r="B260" i="3"/>
  <c r="D259" i="3"/>
  <c r="B259" i="3"/>
  <c r="E259" i="3" s="1"/>
  <c r="D353" i="2"/>
  <c r="C353" i="2"/>
  <c r="B353" i="2"/>
  <c r="D352" i="2"/>
  <c r="C352" i="2"/>
  <c r="B352" i="2"/>
  <c r="E354" i="2"/>
  <c r="E355" i="2"/>
  <c r="D351" i="2"/>
  <c r="C351" i="2"/>
  <c r="B351" i="2"/>
  <c r="D350" i="2"/>
  <c r="C350" i="2"/>
  <c r="B350" i="2"/>
  <c r="D347" i="2"/>
  <c r="C347" i="2"/>
  <c r="B347" i="2"/>
  <c r="D346" i="2"/>
  <c r="C346" i="2"/>
  <c r="B346" i="2"/>
  <c r="D345" i="2"/>
  <c r="C345" i="2"/>
  <c r="B345" i="2"/>
  <c r="E182" i="3" l="1"/>
  <c r="E219" i="3"/>
  <c r="E351" i="2"/>
  <c r="Q370" i="4"/>
  <c r="L334" i="4"/>
  <c r="L286" i="4"/>
  <c r="Q376" i="4"/>
  <c r="L336" i="4"/>
  <c r="G334" i="4"/>
  <c r="G286" i="4"/>
  <c r="Q379" i="4"/>
  <c r="L337" i="4"/>
  <c r="J286" i="4"/>
  <c r="J334" i="4"/>
  <c r="P286" i="4"/>
  <c r="Q373" i="4"/>
  <c r="L335" i="4"/>
  <c r="E260" i="3"/>
  <c r="E281" i="3"/>
  <c r="E261" i="3"/>
  <c r="E353" i="2"/>
  <c r="E352" i="2"/>
  <c r="E350" i="2"/>
  <c r="D344" i="2"/>
  <c r="C344" i="2"/>
  <c r="B344" i="2"/>
  <c r="D343" i="2"/>
  <c r="C343" i="2"/>
  <c r="B343" i="2"/>
  <c r="D342" i="2"/>
  <c r="C342" i="2"/>
  <c r="B342" i="2"/>
  <c r="D341" i="2"/>
  <c r="C341" i="2"/>
  <c r="B341" i="2"/>
  <c r="D340" i="2"/>
  <c r="C340" i="2"/>
  <c r="B340" i="2"/>
  <c r="D339" i="2"/>
  <c r="C339" i="2"/>
  <c r="B339" i="2"/>
  <c r="D338" i="2"/>
  <c r="C338" i="2"/>
  <c r="B338" i="2"/>
  <c r="D337" i="2"/>
  <c r="C337" i="2"/>
  <c r="B337" i="2"/>
  <c r="D333" i="2"/>
  <c r="C333" i="2"/>
  <c r="B333" i="2"/>
  <c r="D332" i="2"/>
  <c r="C332" i="2"/>
  <c r="B332" i="2"/>
  <c r="D331" i="2"/>
  <c r="C331" i="2"/>
  <c r="B331" i="2"/>
  <c r="E336" i="2"/>
  <c r="E345" i="2"/>
  <c r="E346" i="2"/>
  <c r="E347" i="2"/>
  <c r="C316" i="4"/>
  <c r="F316" i="4"/>
  <c r="I316" i="4"/>
  <c r="N316" i="4"/>
  <c r="O316" i="4"/>
  <c r="R316" i="4"/>
  <c r="C317" i="4"/>
  <c r="F317" i="4"/>
  <c r="I317" i="4"/>
  <c r="N317" i="4"/>
  <c r="O317" i="4"/>
  <c r="R317" i="4"/>
  <c r="C318" i="4"/>
  <c r="F318" i="4"/>
  <c r="I318" i="4"/>
  <c r="K318" i="4"/>
  <c r="N318" i="4"/>
  <c r="O318" i="4"/>
  <c r="R318" i="4"/>
  <c r="C319" i="4"/>
  <c r="F319" i="4"/>
  <c r="I319" i="4"/>
  <c r="N319" i="4"/>
  <c r="O319" i="4"/>
  <c r="R319" i="4"/>
  <c r="C322" i="4"/>
  <c r="F322" i="4"/>
  <c r="I322" i="4"/>
  <c r="N322" i="4"/>
  <c r="O322" i="4"/>
  <c r="R322" i="4"/>
  <c r="C323" i="4"/>
  <c r="F323" i="4"/>
  <c r="I323" i="4"/>
  <c r="N323" i="4"/>
  <c r="O323" i="4"/>
  <c r="R323" i="4"/>
  <c r="C324" i="4"/>
  <c r="F324" i="4"/>
  <c r="I324" i="4"/>
  <c r="N324" i="4"/>
  <c r="O324" i="4"/>
  <c r="R324" i="4"/>
  <c r="C325" i="4"/>
  <c r="F325" i="4"/>
  <c r="I325" i="4"/>
  <c r="N325" i="4"/>
  <c r="O325" i="4"/>
  <c r="R325" i="4"/>
  <c r="C328" i="4"/>
  <c r="F328" i="4"/>
  <c r="I328" i="4"/>
  <c r="N328" i="4"/>
  <c r="O328" i="4"/>
  <c r="R328" i="4"/>
  <c r="C329" i="4"/>
  <c r="F329" i="4"/>
  <c r="I329" i="4"/>
  <c r="N329" i="4"/>
  <c r="O329" i="4"/>
  <c r="R329" i="4"/>
  <c r="C330" i="4"/>
  <c r="F330" i="4"/>
  <c r="I330" i="4"/>
  <c r="N330" i="4"/>
  <c r="O330" i="4"/>
  <c r="R330" i="4"/>
  <c r="C331" i="4"/>
  <c r="F331" i="4"/>
  <c r="I331" i="4"/>
  <c r="N331" i="4"/>
  <c r="O331" i="4"/>
  <c r="R331" i="4"/>
  <c r="B331" i="4"/>
  <c r="B330" i="4"/>
  <c r="B329" i="4"/>
  <c r="B328" i="4"/>
  <c r="B325" i="4"/>
  <c r="B324" i="4"/>
  <c r="B323" i="4"/>
  <c r="B322" i="4"/>
  <c r="B319" i="4"/>
  <c r="B318" i="4"/>
  <c r="B317" i="4"/>
  <c r="B316" i="4"/>
  <c r="M367" i="4"/>
  <c r="P367" i="4" s="1"/>
  <c r="M366" i="4"/>
  <c r="P366" i="4" s="1"/>
  <c r="M365" i="4"/>
  <c r="M364" i="4"/>
  <c r="P364" i="4" s="1"/>
  <c r="M363" i="4"/>
  <c r="P363" i="4" s="1"/>
  <c r="M362" i="4"/>
  <c r="M361" i="4"/>
  <c r="P361" i="4" s="1"/>
  <c r="M360" i="4"/>
  <c r="P360" i="4" s="1"/>
  <c r="M359" i="4"/>
  <c r="M358" i="4"/>
  <c r="P358" i="4" s="1"/>
  <c r="M357" i="4"/>
  <c r="P357" i="4" s="1"/>
  <c r="M356" i="4"/>
  <c r="P356" i="4" s="1"/>
  <c r="K367" i="4"/>
  <c r="K366" i="4"/>
  <c r="K365" i="4"/>
  <c r="K364" i="4"/>
  <c r="K363" i="4"/>
  <c r="K362" i="4"/>
  <c r="K361" i="4"/>
  <c r="K360" i="4"/>
  <c r="K359" i="4"/>
  <c r="K358" i="4"/>
  <c r="K357" i="4"/>
  <c r="K356" i="4"/>
  <c r="H367" i="4"/>
  <c r="J367" i="4" s="1"/>
  <c r="H366" i="4"/>
  <c r="J366" i="4" s="1"/>
  <c r="H365" i="4"/>
  <c r="J365" i="4" s="1"/>
  <c r="H364" i="4"/>
  <c r="H363" i="4"/>
  <c r="H362" i="4"/>
  <c r="J362" i="4" s="1"/>
  <c r="H361" i="4"/>
  <c r="J361" i="4" s="1"/>
  <c r="H360" i="4"/>
  <c r="H359" i="4"/>
  <c r="J359" i="4" s="1"/>
  <c r="H358" i="4"/>
  <c r="J358" i="4" s="1"/>
  <c r="H357" i="4"/>
  <c r="H356" i="4"/>
  <c r="E367" i="4"/>
  <c r="G367" i="4" s="1"/>
  <c r="E366" i="4"/>
  <c r="G366" i="4" s="1"/>
  <c r="E365" i="4"/>
  <c r="G365" i="4" s="1"/>
  <c r="E364" i="4"/>
  <c r="E363" i="4"/>
  <c r="G363" i="4" s="1"/>
  <c r="E362" i="4"/>
  <c r="E361" i="4"/>
  <c r="G361" i="4" s="1"/>
  <c r="E360" i="4"/>
  <c r="G360" i="4" s="1"/>
  <c r="E359" i="4"/>
  <c r="G359" i="4" s="1"/>
  <c r="E358" i="4"/>
  <c r="G358" i="4" s="1"/>
  <c r="E357" i="4"/>
  <c r="G357" i="4" s="1"/>
  <c r="E356" i="4"/>
  <c r="D359" i="4"/>
  <c r="D360" i="4"/>
  <c r="D361" i="4"/>
  <c r="D362" i="4"/>
  <c r="D363" i="4"/>
  <c r="D364" i="4"/>
  <c r="D365" i="4"/>
  <c r="D331" i="4" s="1"/>
  <c r="D366" i="4"/>
  <c r="D367" i="4"/>
  <c r="G362" i="4"/>
  <c r="G364" i="4"/>
  <c r="J360" i="4"/>
  <c r="J364" i="4"/>
  <c r="M352" i="4"/>
  <c r="P352" i="4" s="1"/>
  <c r="M353" i="4"/>
  <c r="M351" i="4"/>
  <c r="P351" i="4" s="1"/>
  <c r="K353" i="4"/>
  <c r="K352" i="4"/>
  <c r="K351" i="4"/>
  <c r="H353" i="4"/>
  <c r="J353" i="4" s="1"/>
  <c r="H352" i="4"/>
  <c r="H351" i="4"/>
  <c r="E353" i="4"/>
  <c r="E352" i="4"/>
  <c r="G352" i="4" s="1"/>
  <c r="E351" i="4"/>
  <c r="G351" i="4" s="1"/>
  <c r="D348" i="4"/>
  <c r="D349" i="4"/>
  <c r="D350" i="4"/>
  <c r="D351" i="4"/>
  <c r="D352" i="4"/>
  <c r="D353" i="4"/>
  <c r="G353" i="4"/>
  <c r="J352" i="4"/>
  <c r="P353" i="4"/>
  <c r="J356" i="4"/>
  <c r="G356" i="4"/>
  <c r="D356" i="4"/>
  <c r="D357" i="4"/>
  <c r="D358" i="4"/>
  <c r="D258" i="3"/>
  <c r="B258" i="3"/>
  <c r="D257" i="3"/>
  <c r="B257" i="3"/>
  <c r="D256" i="3"/>
  <c r="B256" i="3"/>
  <c r="D330" i="2"/>
  <c r="C330" i="2"/>
  <c r="B330" i="2"/>
  <c r="D329" i="2"/>
  <c r="C329" i="2"/>
  <c r="B329" i="2"/>
  <c r="D328" i="2"/>
  <c r="C328" i="2"/>
  <c r="B328" i="2"/>
  <c r="E180" i="3" l="1"/>
  <c r="E207" i="3"/>
  <c r="E340" i="2"/>
  <c r="S376" i="4"/>
  <c r="S336" i="4" s="1"/>
  <c r="Q336" i="4"/>
  <c r="S379" i="4"/>
  <c r="S337" i="4" s="1"/>
  <c r="Q337" i="4"/>
  <c r="H328" i="4"/>
  <c r="K331" i="4"/>
  <c r="M331" i="4"/>
  <c r="S373" i="4"/>
  <c r="S335" i="4" s="1"/>
  <c r="Q335" i="4"/>
  <c r="S370" i="4"/>
  <c r="Q334" i="4"/>
  <c r="Q286" i="4"/>
  <c r="E329" i="2"/>
  <c r="E256" i="3"/>
  <c r="O284" i="4"/>
  <c r="C284" i="4"/>
  <c r="E332" i="2"/>
  <c r="E331" i="2"/>
  <c r="E344" i="2"/>
  <c r="E343" i="2"/>
  <c r="E342" i="2"/>
  <c r="E341" i="2"/>
  <c r="E339" i="2"/>
  <c r="E338" i="2"/>
  <c r="E337" i="2"/>
  <c r="E333" i="2"/>
  <c r="E257" i="3"/>
  <c r="B284" i="4"/>
  <c r="B285" i="4"/>
  <c r="R285" i="4"/>
  <c r="F285" i="4"/>
  <c r="N285" i="4"/>
  <c r="N284" i="4"/>
  <c r="O285" i="4"/>
  <c r="J357" i="4"/>
  <c r="L357" i="4" s="1"/>
  <c r="Q357" i="4" s="1"/>
  <c r="S357" i="4" s="1"/>
  <c r="P325" i="4"/>
  <c r="H330" i="4"/>
  <c r="I285" i="4"/>
  <c r="I284" i="4"/>
  <c r="C285" i="4"/>
  <c r="R284" i="4"/>
  <c r="F284" i="4"/>
  <c r="D328" i="4"/>
  <c r="J328" i="4"/>
  <c r="D325" i="4"/>
  <c r="G325" i="4"/>
  <c r="D330" i="4"/>
  <c r="E328" i="4"/>
  <c r="K328" i="4"/>
  <c r="J331" i="4"/>
  <c r="P328" i="4"/>
  <c r="H325" i="4"/>
  <c r="D329" i="4"/>
  <c r="K329" i="4"/>
  <c r="M329" i="4"/>
  <c r="G331" i="4"/>
  <c r="G328" i="4"/>
  <c r="K325" i="4"/>
  <c r="G330" i="4"/>
  <c r="E330" i="4"/>
  <c r="K330" i="4"/>
  <c r="M330" i="4"/>
  <c r="P362" i="4"/>
  <c r="P330" i="4" s="1"/>
  <c r="G329" i="4"/>
  <c r="J329" i="4"/>
  <c r="J351" i="4"/>
  <c r="J325" i="4" s="1"/>
  <c r="J363" i="4"/>
  <c r="J330" i="4" s="1"/>
  <c r="P365" i="4"/>
  <c r="P331" i="4" s="1"/>
  <c r="H331" i="4"/>
  <c r="E331" i="4"/>
  <c r="M325" i="4"/>
  <c r="E325" i="4"/>
  <c r="P359" i="4"/>
  <c r="P329" i="4" s="1"/>
  <c r="H329" i="4"/>
  <c r="H285" i="4" s="1"/>
  <c r="M328" i="4"/>
  <c r="E329" i="4"/>
  <c r="L365" i="4"/>
  <c r="L359" i="4"/>
  <c r="L367" i="4"/>
  <c r="Q367" i="4" s="1"/>
  <c r="S367" i="4" s="1"/>
  <c r="L361" i="4"/>
  <c r="Q361" i="4" s="1"/>
  <c r="S361" i="4" s="1"/>
  <c r="L366" i="4"/>
  <c r="Q366" i="4" s="1"/>
  <c r="S366" i="4" s="1"/>
  <c r="L362" i="4"/>
  <c r="L364" i="4"/>
  <c r="Q364" i="4" s="1"/>
  <c r="S364" i="4" s="1"/>
  <c r="L360" i="4"/>
  <c r="Q360" i="4" s="1"/>
  <c r="S360" i="4" s="1"/>
  <c r="L352" i="4"/>
  <c r="Q352" i="4" s="1"/>
  <c r="S352" i="4" s="1"/>
  <c r="L353" i="4"/>
  <c r="Q353" i="4" s="1"/>
  <c r="S353" i="4" s="1"/>
  <c r="L358" i="4"/>
  <c r="Q358" i="4" s="1"/>
  <c r="S358" i="4" s="1"/>
  <c r="L356" i="4"/>
  <c r="E258" i="3"/>
  <c r="E206" i="3" s="1"/>
  <c r="E330" i="2"/>
  <c r="E328" i="2"/>
  <c r="M350" i="4"/>
  <c r="P350" i="4" s="1"/>
  <c r="M349" i="4"/>
  <c r="P349" i="4" s="1"/>
  <c r="M348" i="4"/>
  <c r="P348" i="4" s="1"/>
  <c r="M347" i="4"/>
  <c r="P347" i="4" s="1"/>
  <c r="M346" i="4"/>
  <c r="P346" i="4" s="1"/>
  <c r="M345" i="4"/>
  <c r="M344" i="4"/>
  <c r="M343" i="4"/>
  <c r="M342" i="4"/>
  <c r="M341" i="4"/>
  <c r="M340" i="4"/>
  <c r="M339" i="4"/>
  <c r="K348" i="4"/>
  <c r="K350" i="4"/>
  <c r="K349" i="4"/>
  <c r="K347" i="4"/>
  <c r="K346" i="4"/>
  <c r="K345" i="4"/>
  <c r="K344" i="4"/>
  <c r="K343" i="4"/>
  <c r="K342" i="4"/>
  <c r="K341" i="4"/>
  <c r="K340" i="4"/>
  <c r="K339" i="4"/>
  <c r="H350" i="4"/>
  <c r="J350" i="4" s="1"/>
  <c r="H349" i="4"/>
  <c r="J349" i="4" s="1"/>
  <c r="H348" i="4"/>
  <c r="J348" i="4" s="1"/>
  <c r="H347" i="4"/>
  <c r="J347" i="4" s="1"/>
  <c r="H346" i="4"/>
  <c r="J346" i="4" s="1"/>
  <c r="H345" i="4"/>
  <c r="H344" i="4"/>
  <c r="H343" i="4"/>
  <c r="H342" i="4"/>
  <c r="H341" i="4"/>
  <c r="H340" i="4"/>
  <c r="H339" i="4"/>
  <c r="E350" i="4"/>
  <c r="G350" i="4" s="1"/>
  <c r="E349" i="4"/>
  <c r="G349" i="4" s="1"/>
  <c r="E348" i="4"/>
  <c r="G348" i="4" s="1"/>
  <c r="E347" i="4"/>
  <c r="G347" i="4" s="1"/>
  <c r="E346" i="4"/>
  <c r="G346" i="4" s="1"/>
  <c r="E345" i="4"/>
  <c r="E344" i="4"/>
  <c r="E343" i="4"/>
  <c r="E342" i="4"/>
  <c r="E341" i="4"/>
  <c r="E340" i="4"/>
  <c r="E339" i="4"/>
  <c r="D345" i="4"/>
  <c r="D346" i="4"/>
  <c r="D347" i="4"/>
  <c r="C192" i="3"/>
  <c r="D192" i="3"/>
  <c r="C193" i="3"/>
  <c r="D193" i="3"/>
  <c r="C194" i="3"/>
  <c r="D194" i="3"/>
  <c r="C195" i="3"/>
  <c r="D195" i="3"/>
  <c r="B195" i="3"/>
  <c r="B194" i="3"/>
  <c r="B193" i="3"/>
  <c r="B192" i="3"/>
  <c r="D255" i="3"/>
  <c r="E255" i="3" s="1"/>
  <c r="E205" i="3" s="1"/>
  <c r="D254" i="3"/>
  <c r="E254" i="3" s="1"/>
  <c r="D253" i="3"/>
  <c r="E253" i="3" s="1"/>
  <c r="D252" i="3"/>
  <c r="E252" i="3" s="1"/>
  <c r="E204" i="3" s="1"/>
  <c r="D251" i="3"/>
  <c r="E251" i="3" s="1"/>
  <c r="D250" i="3"/>
  <c r="E250" i="3" s="1"/>
  <c r="C165" i="3"/>
  <c r="D165" i="3"/>
  <c r="B165" i="3"/>
  <c r="D327" i="2"/>
  <c r="C327" i="2"/>
  <c r="B327" i="2"/>
  <c r="D326" i="2"/>
  <c r="C326" i="2"/>
  <c r="B326" i="2"/>
  <c r="D325" i="2"/>
  <c r="C325" i="2"/>
  <c r="B325" i="2"/>
  <c r="D324" i="2"/>
  <c r="C324" i="2"/>
  <c r="B324" i="2"/>
  <c r="D323" i="2"/>
  <c r="C323" i="2"/>
  <c r="B323" i="2"/>
  <c r="D322" i="2"/>
  <c r="C322" i="2"/>
  <c r="B322" i="2"/>
  <c r="S334" i="4" l="1"/>
  <c r="S286" i="4"/>
  <c r="L363" i="4"/>
  <c r="Q363" i="4" s="1"/>
  <c r="S363" i="4" s="1"/>
  <c r="L348" i="4"/>
  <c r="Q348" i="4" s="1"/>
  <c r="S348" i="4" s="1"/>
  <c r="M285" i="4"/>
  <c r="P285" i="4"/>
  <c r="D285" i="4"/>
  <c r="K324" i="4"/>
  <c r="M324" i="4"/>
  <c r="L351" i="4"/>
  <c r="Q351" i="4" s="1"/>
  <c r="E285" i="4"/>
  <c r="J285" i="4"/>
  <c r="G285" i="4"/>
  <c r="K285" i="4"/>
  <c r="J345" i="4"/>
  <c r="J324" i="4" s="1"/>
  <c r="H324" i="4"/>
  <c r="Q356" i="4"/>
  <c r="L328" i="4"/>
  <c r="Q362" i="4"/>
  <c r="L330" i="4"/>
  <c r="Q359" i="4"/>
  <c r="L329" i="4"/>
  <c r="P345" i="4"/>
  <c r="P324" i="4" s="1"/>
  <c r="D324" i="4"/>
  <c r="E323" i="4"/>
  <c r="L350" i="4"/>
  <c r="Q350" i="4" s="1"/>
  <c r="S350" i="4" s="1"/>
  <c r="H323" i="4"/>
  <c r="K323" i="4"/>
  <c r="M323" i="4"/>
  <c r="L349" i="4"/>
  <c r="Q349" i="4" s="1"/>
  <c r="S349" i="4" s="1"/>
  <c r="G345" i="4"/>
  <c r="G324" i="4" s="1"/>
  <c r="E324" i="4"/>
  <c r="Q365" i="4"/>
  <c r="L331" i="4"/>
  <c r="E322" i="4"/>
  <c r="H322" i="4"/>
  <c r="K322" i="4"/>
  <c r="M322" i="4"/>
  <c r="L347" i="4"/>
  <c r="Q347" i="4" s="1"/>
  <c r="S347" i="4" s="1"/>
  <c r="L346" i="4"/>
  <c r="Q346" i="4" s="1"/>
  <c r="S346" i="4" s="1"/>
  <c r="E322" i="2"/>
  <c r="E323" i="2"/>
  <c r="E324" i="2"/>
  <c r="E325" i="2"/>
  <c r="E326" i="2"/>
  <c r="E327" i="2"/>
  <c r="P342" i="4"/>
  <c r="P339" i="4"/>
  <c r="J343" i="4"/>
  <c r="J341" i="4"/>
  <c r="J340" i="4"/>
  <c r="G342" i="4"/>
  <c r="G340" i="4"/>
  <c r="P340" i="4"/>
  <c r="P341" i="4"/>
  <c r="P343" i="4"/>
  <c r="P344" i="4"/>
  <c r="J339" i="4"/>
  <c r="J342" i="4"/>
  <c r="J344" i="4"/>
  <c r="G339" i="4"/>
  <c r="G341" i="4"/>
  <c r="G343" i="4"/>
  <c r="G344" i="4"/>
  <c r="D339" i="4"/>
  <c r="D340" i="4"/>
  <c r="D341" i="4"/>
  <c r="D342" i="4"/>
  <c r="D343" i="4"/>
  <c r="D344" i="4"/>
  <c r="C310" i="4"/>
  <c r="F310" i="4"/>
  <c r="I310" i="4"/>
  <c r="N310" i="4"/>
  <c r="O310" i="4"/>
  <c r="R310" i="4"/>
  <c r="C311" i="4"/>
  <c r="F311" i="4"/>
  <c r="I311" i="4"/>
  <c r="K311" i="4"/>
  <c r="N311" i="4"/>
  <c r="O311" i="4"/>
  <c r="R311" i="4"/>
  <c r="C312" i="4"/>
  <c r="F312" i="4"/>
  <c r="I312" i="4"/>
  <c r="K312" i="4"/>
  <c r="N312" i="4"/>
  <c r="O312" i="4"/>
  <c r="R312" i="4"/>
  <c r="C313" i="4"/>
  <c r="E313" i="4"/>
  <c r="F313" i="4"/>
  <c r="I313" i="4"/>
  <c r="K313" i="4"/>
  <c r="N313" i="4"/>
  <c r="O313" i="4"/>
  <c r="R313" i="4"/>
  <c r="B313" i="4"/>
  <c r="B312" i="4"/>
  <c r="B311" i="4"/>
  <c r="B310" i="4"/>
  <c r="C263" i="4"/>
  <c r="F263" i="4"/>
  <c r="I263" i="4"/>
  <c r="N263" i="4"/>
  <c r="O263" i="4"/>
  <c r="R263" i="4"/>
  <c r="B263" i="4"/>
  <c r="E245" i="3"/>
  <c r="E246" i="3"/>
  <c r="E247" i="3"/>
  <c r="C319" i="2"/>
  <c r="B319" i="2"/>
  <c r="B231" i="2" s="1"/>
  <c r="C318" i="2"/>
  <c r="B318" i="2"/>
  <c r="C317" i="2"/>
  <c r="B317" i="2"/>
  <c r="B287" i="2" l="1"/>
  <c r="C287" i="2"/>
  <c r="E165" i="3"/>
  <c r="E201" i="3"/>
  <c r="E284" i="4"/>
  <c r="L325" i="4"/>
  <c r="L345" i="4"/>
  <c r="Q345" i="4" s="1"/>
  <c r="K284" i="4"/>
  <c r="E318" i="2"/>
  <c r="J323" i="4"/>
  <c r="H284" i="4"/>
  <c r="E319" i="2"/>
  <c r="E231" i="2" s="1"/>
  <c r="P323" i="4"/>
  <c r="L285" i="4"/>
  <c r="G322" i="4"/>
  <c r="M284" i="4"/>
  <c r="S365" i="4"/>
  <c r="S331" i="4" s="1"/>
  <c r="Q331" i="4"/>
  <c r="S362" i="4"/>
  <c r="S330" i="4" s="1"/>
  <c r="Q330" i="4"/>
  <c r="D323" i="4"/>
  <c r="G323" i="4"/>
  <c r="P322" i="4"/>
  <c r="P284" i="4" s="1"/>
  <c r="D322" i="4"/>
  <c r="S351" i="4"/>
  <c r="S325" i="4" s="1"/>
  <c r="Q325" i="4"/>
  <c r="S359" i="4"/>
  <c r="S329" i="4" s="1"/>
  <c r="Q329" i="4"/>
  <c r="S356" i="4"/>
  <c r="S328" i="4" s="1"/>
  <c r="Q328" i="4"/>
  <c r="J322" i="4"/>
  <c r="L339" i="4"/>
  <c r="L344" i="4"/>
  <c r="L343" i="4"/>
  <c r="L342" i="4"/>
  <c r="L341" i="4"/>
  <c r="L340" i="4"/>
  <c r="E317" i="2"/>
  <c r="G319" i="4"/>
  <c r="E242" i="3"/>
  <c r="E243" i="3"/>
  <c r="E244" i="3"/>
  <c r="E200" i="3" s="1"/>
  <c r="D316" i="2"/>
  <c r="C316" i="2"/>
  <c r="B316" i="2"/>
  <c r="D315" i="2"/>
  <c r="C315" i="2"/>
  <c r="B315" i="2"/>
  <c r="D314" i="2"/>
  <c r="C314" i="2"/>
  <c r="B314" i="2"/>
  <c r="K317" i="4"/>
  <c r="C186" i="3"/>
  <c r="D186" i="3"/>
  <c r="C187" i="3"/>
  <c r="D187" i="3"/>
  <c r="C188" i="3"/>
  <c r="D188" i="3"/>
  <c r="C189" i="3"/>
  <c r="D189" i="3"/>
  <c r="B189" i="3"/>
  <c r="B188" i="3"/>
  <c r="B187" i="3"/>
  <c r="B186" i="3"/>
  <c r="C161" i="3"/>
  <c r="D161" i="3"/>
  <c r="C162" i="3"/>
  <c r="D162" i="3"/>
  <c r="C163" i="3"/>
  <c r="D163" i="3"/>
  <c r="C164" i="3"/>
  <c r="D164" i="3"/>
  <c r="B164" i="3"/>
  <c r="B163" i="3"/>
  <c r="B162" i="3"/>
  <c r="B161" i="3"/>
  <c r="B238" i="2"/>
  <c r="C303" i="4"/>
  <c r="F303" i="4"/>
  <c r="I303" i="4"/>
  <c r="K303" i="4"/>
  <c r="N303" i="4"/>
  <c r="O303" i="4"/>
  <c r="R303" i="4"/>
  <c r="C304" i="4"/>
  <c r="F304" i="4"/>
  <c r="I304" i="4"/>
  <c r="K304" i="4"/>
  <c r="N304" i="4"/>
  <c r="O304" i="4"/>
  <c r="R304" i="4"/>
  <c r="C305" i="4"/>
  <c r="E305" i="4"/>
  <c r="F305" i="4"/>
  <c r="I305" i="4"/>
  <c r="K305" i="4"/>
  <c r="N305" i="4"/>
  <c r="O305" i="4"/>
  <c r="R305" i="4"/>
  <c r="C306" i="4"/>
  <c r="E306" i="4"/>
  <c r="F306" i="4"/>
  <c r="I306" i="4"/>
  <c r="K306" i="4"/>
  <c r="N306" i="4"/>
  <c r="O306" i="4"/>
  <c r="R306" i="4"/>
  <c r="B306" i="4"/>
  <c r="B305" i="4"/>
  <c r="B304" i="4"/>
  <c r="B303" i="4"/>
  <c r="C280" i="4"/>
  <c r="F280" i="4"/>
  <c r="I280" i="4"/>
  <c r="K280" i="4"/>
  <c r="N280" i="4"/>
  <c r="O280" i="4"/>
  <c r="R280" i="4"/>
  <c r="C281" i="4"/>
  <c r="F281" i="4"/>
  <c r="I281" i="4"/>
  <c r="K281" i="4"/>
  <c r="N281" i="4"/>
  <c r="O281" i="4"/>
  <c r="R281" i="4"/>
  <c r="C282" i="4"/>
  <c r="F282" i="4"/>
  <c r="I282" i="4"/>
  <c r="K282" i="4"/>
  <c r="N282" i="4"/>
  <c r="O282" i="4"/>
  <c r="R282" i="4"/>
  <c r="C283" i="4"/>
  <c r="F283" i="4"/>
  <c r="I283" i="4"/>
  <c r="K283" i="4"/>
  <c r="N283" i="4"/>
  <c r="O283" i="4"/>
  <c r="R283" i="4"/>
  <c r="B283" i="4"/>
  <c r="B282" i="4"/>
  <c r="B281" i="4"/>
  <c r="B280" i="4"/>
  <c r="C227" i="4"/>
  <c r="F227" i="4"/>
  <c r="I227" i="4"/>
  <c r="N227" i="4"/>
  <c r="O227" i="4"/>
  <c r="R227" i="4"/>
  <c r="B227" i="4"/>
  <c r="B307" i="4"/>
  <c r="C53" i="3"/>
  <c r="D53" i="3"/>
  <c r="B53" i="3"/>
  <c r="E113" i="2"/>
  <c r="E114" i="2"/>
  <c r="E115" i="2"/>
  <c r="E128" i="2"/>
  <c r="E129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D241" i="3"/>
  <c r="E241" i="3" s="1"/>
  <c r="E199" i="3" s="1"/>
  <c r="E236" i="3"/>
  <c r="E237" i="3"/>
  <c r="E238" i="3"/>
  <c r="E198" i="3" s="1"/>
  <c r="E239" i="3"/>
  <c r="E240" i="3"/>
  <c r="D313" i="2"/>
  <c r="C313" i="2"/>
  <c r="B313" i="2"/>
  <c r="D312" i="2"/>
  <c r="C312" i="2"/>
  <c r="B312" i="2"/>
  <c r="D311" i="2"/>
  <c r="C311" i="2"/>
  <c r="B311" i="2"/>
  <c r="D310" i="2"/>
  <c r="C310" i="2"/>
  <c r="B310" i="2"/>
  <c r="D309" i="2"/>
  <c r="C309" i="2"/>
  <c r="B309" i="2"/>
  <c r="D308" i="2"/>
  <c r="C308" i="2"/>
  <c r="B308" i="2"/>
  <c r="E231" i="3"/>
  <c r="E232" i="3"/>
  <c r="E233" i="3"/>
  <c r="D281" i="2"/>
  <c r="C281" i="2"/>
  <c r="B281" i="2"/>
  <c r="D280" i="2"/>
  <c r="C280" i="2"/>
  <c r="B280" i="2"/>
  <c r="D279" i="2"/>
  <c r="C279" i="2"/>
  <c r="B279" i="2"/>
  <c r="E228" i="3"/>
  <c r="E229" i="3"/>
  <c r="E230" i="3"/>
  <c r="E194" i="3" s="1"/>
  <c r="D278" i="2"/>
  <c r="D265" i="2" s="1"/>
  <c r="C278" i="2"/>
  <c r="C265" i="2" s="1"/>
  <c r="B278" i="2"/>
  <c r="B265" i="2" s="1"/>
  <c r="D277" i="2"/>
  <c r="C277" i="2"/>
  <c r="B277" i="2"/>
  <c r="D276" i="2"/>
  <c r="C276" i="2"/>
  <c r="B276" i="2"/>
  <c r="C307" i="4"/>
  <c r="F307" i="4"/>
  <c r="I307" i="4"/>
  <c r="N307" i="4"/>
  <c r="O307" i="4"/>
  <c r="R307" i="4"/>
  <c r="C285" i="2" l="1"/>
  <c r="D284" i="2"/>
  <c r="D285" i="2"/>
  <c r="B286" i="2"/>
  <c r="B284" i="2"/>
  <c r="E312" i="2"/>
  <c r="E134" i="2" s="1"/>
  <c r="C286" i="2"/>
  <c r="C284" i="2"/>
  <c r="B285" i="2"/>
  <c r="D286" i="2"/>
  <c r="E287" i="2"/>
  <c r="L324" i="4"/>
  <c r="J284" i="4"/>
  <c r="E280" i="2"/>
  <c r="E126" i="2" s="1"/>
  <c r="E309" i="2"/>
  <c r="E131" i="2" s="1"/>
  <c r="E316" i="2"/>
  <c r="K319" i="4"/>
  <c r="L323" i="4"/>
  <c r="E310" i="2"/>
  <c r="E132" i="2" s="1"/>
  <c r="E311" i="2"/>
  <c r="E313" i="2"/>
  <c r="E135" i="2" s="1"/>
  <c r="E281" i="2"/>
  <c r="E266" i="2" s="1"/>
  <c r="E315" i="2"/>
  <c r="G284" i="4"/>
  <c r="E276" i="2"/>
  <c r="E122" i="2" s="1"/>
  <c r="E277" i="2"/>
  <c r="E123" i="2" s="1"/>
  <c r="E279" i="2"/>
  <c r="E125" i="2" s="1"/>
  <c r="E314" i="2"/>
  <c r="E286" i="2" s="1"/>
  <c r="P317" i="4"/>
  <c r="D284" i="4"/>
  <c r="G316" i="4"/>
  <c r="S285" i="4"/>
  <c r="M318" i="4"/>
  <c r="Q285" i="4"/>
  <c r="J319" i="4"/>
  <c r="H319" i="4"/>
  <c r="S345" i="4"/>
  <c r="Q324" i="4"/>
  <c r="G317" i="4"/>
  <c r="J316" i="4"/>
  <c r="J318" i="4"/>
  <c r="D318" i="4"/>
  <c r="E317" i="4"/>
  <c r="H318" i="4"/>
  <c r="M317" i="4"/>
  <c r="E319" i="4"/>
  <c r="G318" i="4"/>
  <c r="E318" i="4"/>
  <c r="K263" i="4"/>
  <c r="K316" i="4"/>
  <c r="Q339" i="4"/>
  <c r="L322" i="4"/>
  <c r="D317" i="4"/>
  <c r="J317" i="4"/>
  <c r="P316" i="4"/>
  <c r="H316" i="4"/>
  <c r="M316" i="4"/>
  <c r="P319" i="4"/>
  <c r="M319" i="4"/>
  <c r="E312" i="4"/>
  <c r="K227" i="4"/>
  <c r="D316" i="4"/>
  <c r="P318" i="4"/>
  <c r="E316" i="4"/>
  <c r="H317" i="4"/>
  <c r="D319" i="4"/>
  <c r="E311" i="4"/>
  <c r="H263" i="4"/>
  <c r="M263" i="4"/>
  <c r="H312" i="4"/>
  <c r="Q343" i="4"/>
  <c r="S343" i="4" s="1"/>
  <c r="Q342" i="4"/>
  <c r="Q341" i="4"/>
  <c r="S341" i="4" s="1"/>
  <c r="Q340" i="4"/>
  <c r="S340" i="4" s="1"/>
  <c r="Q344" i="4"/>
  <c r="S344" i="4" s="1"/>
  <c r="E53" i="3"/>
  <c r="E195" i="3"/>
  <c r="E278" i="2"/>
  <c r="E265" i="2" s="1"/>
  <c r="D179" i="2"/>
  <c r="D266" i="2"/>
  <c r="B179" i="2"/>
  <c r="B266" i="2"/>
  <c r="C179" i="2"/>
  <c r="C266" i="2"/>
  <c r="E308" i="2"/>
  <c r="E310" i="4"/>
  <c r="H310" i="4"/>
  <c r="M312" i="4"/>
  <c r="H307" i="4"/>
  <c r="H227" i="4"/>
  <c r="H311" i="4"/>
  <c r="H313" i="4"/>
  <c r="M313" i="4"/>
  <c r="D263" i="4"/>
  <c r="K307" i="4"/>
  <c r="E307" i="4"/>
  <c r="E227" i="4"/>
  <c r="K310" i="4"/>
  <c r="J263" i="4"/>
  <c r="E263" i="4"/>
  <c r="M311" i="4"/>
  <c r="D275" i="2"/>
  <c r="D264" i="2" s="1"/>
  <c r="C275" i="2"/>
  <c r="C264" i="2" s="1"/>
  <c r="B275" i="2"/>
  <c r="B264" i="2" s="1"/>
  <c r="D274" i="2"/>
  <c r="C274" i="2"/>
  <c r="B274" i="2"/>
  <c r="D273" i="2"/>
  <c r="C273" i="2"/>
  <c r="B273" i="2"/>
  <c r="E222" i="3"/>
  <c r="E223" i="3"/>
  <c r="E224" i="3"/>
  <c r="E192" i="3" s="1"/>
  <c r="E225" i="3"/>
  <c r="E226" i="3"/>
  <c r="E227" i="3"/>
  <c r="E193" i="3" s="1"/>
  <c r="D272" i="2"/>
  <c r="D263" i="2" s="1"/>
  <c r="D271" i="2"/>
  <c r="D270" i="2"/>
  <c r="C272" i="2"/>
  <c r="C263" i="2" s="1"/>
  <c r="C271" i="2"/>
  <c r="C270" i="2"/>
  <c r="B272" i="2"/>
  <c r="B263" i="2" s="1"/>
  <c r="B271" i="2"/>
  <c r="B270" i="2"/>
  <c r="C141" i="3"/>
  <c r="D141" i="3"/>
  <c r="C142" i="3"/>
  <c r="D142" i="3"/>
  <c r="C143" i="3"/>
  <c r="D143" i="3"/>
  <c r="C144" i="3"/>
  <c r="D144" i="3"/>
  <c r="B144" i="3"/>
  <c r="B143" i="3"/>
  <c r="B142" i="3"/>
  <c r="B141" i="3"/>
  <c r="C135" i="3"/>
  <c r="D135" i="3"/>
  <c r="C136" i="3"/>
  <c r="D136" i="3"/>
  <c r="C137" i="3"/>
  <c r="D137" i="3"/>
  <c r="C138" i="3"/>
  <c r="D138" i="3"/>
  <c r="B138" i="3"/>
  <c r="B137" i="3"/>
  <c r="B136" i="3"/>
  <c r="B135" i="3"/>
  <c r="C50" i="3"/>
  <c r="D50" i="3"/>
  <c r="C51" i="3"/>
  <c r="D51" i="3"/>
  <c r="C52" i="3"/>
  <c r="D52" i="3"/>
  <c r="B52" i="3"/>
  <c r="B51" i="3"/>
  <c r="B50" i="3"/>
  <c r="C213" i="2"/>
  <c r="D213" i="2"/>
  <c r="C214" i="2"/>
  <c r="D214" i="2"/>
  <c r="B214" i="2"/>
  <c r="B213" i="2"/>
  <c r="C193" i="2"/>
  <c r="D193" i="2"/>
  <c r="C194" i="2"/>
  <c r="D194" i="2"/>
  <c r="B195" i="2"/>
  <c r="B194" i="2"/>
  <c r="B193" i="2"/>
  <c r="E212" i="2"/>
  <c r="C262" i="4"/>
  <c r="H262" i="4"/>
  <c r="I262" i="4"/>
  <c r="K262" i="4"/>
  <c r="N262" i="4"/>
  <c r="O262" i="4"/>
  <c r="R262" i="4"/>
  <c r="B262" i="4"/>
  <c r="B258" i="4"/>
  <c r="C258" i="4"/>
  <c r="H258" i="4"/>
  <c r="I258" i="4"/>
  <c r="K258" i="4"/>
  <c r="M258" i="4"/>
  <c r="N258" i="4"/>
  <c r="O258" i="4"/>
  <c r="R258" i="4"/>
  <c r="C254" i="4"/>
  <c r="E254" i="4"/>
  <c r="F254" i="4"/>
  <c r="H254" i="4"/>
  <c r="I254" i="4"/>
  <c r="K254" i="4"/>
  <c r="M254" i="4"/>
  <c r="N254" i="4"/>
  <c r="O254" i="4"/>
  <c r="R254" i="4"/>
  <c r="B254" i="4"/>
  <c r="C250" i="4"/>
  <c r="E250" i="4"/>
  <c r="F250" i="4"/>
  <c r="H250" i="4"/>
  <c r="I250" i="4"/>
  <c r="K250" i="4"/>
  <c r="M250" i="4"/>
  <c r="N250" i="4"/>
  <c r="O250" i="4"/>
  <c r="R250" i="4"/>
  <c r="B250" i="4"/>
  <c r="H244" i="4"/>
  <c r="I244" i="4"/>
  <c r="K244" i="4"/>
  <c r="M244" i="4"/>
  <c r="N244" i="4"/>
  <c r="O244" i="4"/>
  <c r="R244" i="4"/>
  <c r="B244" i="4"/>
  <c r="C244" i="4"/>
  <c r="E244" i="4"/>
  <c r="B236" i="4"/>
  <c r="C236" i="4"/>
  <c r="E236" i="4"/>
  <c r="B240" i="4"/>
  <c r="C240" i="4"/>
  <c r="D240" i="4"/>
  <c r="E240" i="4"/>
  <c r="F244" i="4"/>
  <c r="H240" i="4"/>
  <c r="I240" i="4"/>
  <c r="K240" i="4"/>
  <c r="M240" i="4"/>
  <c r="N240" i="4"/>
  <c r="O240" i="4"/>
  <c r="R240" i="4"/>
  <c r="F240" i="4"/>
  <c r="H236" i="4"/>
  <c r="I236" i="4"/>
  <c r="K236" i="4"/>
  <c r="M236" i="4"/>
  <c r="N236" i="4"/>
  <c r="O236" i="4"/>
  <c r="R236" i="4"/>
  <c r="F236" i="4"/>
  <c r="C232" i="4"/>
  <c r="E232" i="4"/>
  <c r="F232" i="4"/>
  <c r="H232" i="4"/>
  <c r="I232" i="4"/>
  <c r="K232" i="4"/>
  <c r="M232" i="4"/>
  <c r="N232" i="4"/>
  <c r="O232" i="4"/>
  <c r="R232" i="4"/>
  <c r="B232" i="4"/>
  <c r="F222" i="4"/>
  <c r="G222" i="4" s="1"/>
  <c r="I111" i="4"/>
  <c r="D254" i="2"/>
  <c r="D260" i="2" s="1"/>
  <c r="C254" i="2"/>
  <c r="C260" i="2" s="1"/>
  <c r="B254" i="2"/>
  <c r="B260" i="2" s="1"/>
  <c r="D253" i="2"/>
  <c r="C253" i="2"/>
  <c r="B253" i="2"/>
  <c r="D252" i="2"/>
  <c r="C252" i="2"/>
  <c r="B252" i="2"/>
  <c r="M300" i="4"/>
  <c r="P300" i="4" s="1"/>
  <c r="M299" i="4"/>
  <c r="P299" i="4" s="1"/>
  <c r="M298" i="4"/>
  <c r="M296" i="4"/>
  <c r="P296" i="4" s="1"/>
  <c r="M295" i="4"/>
  <c r="P295" i="4" s="1"/>
  <c r="H300" i="4"/>
  <c r="J300" i="4" s="1"/>
  <c r="H299" i="4"/>
  <c r="J299" i="4" s="1"/>
  <c r="H298" i="4"/>
  <c r="J298" i="4" s="1"/>
  <c r="H297" i="4"/>
  <c r="J297" i="4" s="1"/>
  <c r="H296" i="4"/>
  <c r="J296" i="4" s="1"/>
  <c r="H295" i="4"/>
  <c r="E189" i="3"/>
  <c r="G298" i="4"/>
  <c r="G299" i="4"/>
  <c r="G300" i="4"/>
  <c r="D298" i="4"/>
  <c r="D299" i="4"/>
  <c r="D300" i="4"/>
  <c r="E188" i="3"/>
  <c r="D251" i="2"/>
  <c r="D259" i="2" s="1"/>
  <c r="D250" i="2"/>
  <c r="D249" i="2"/>
  <c r="C251" i="2"/>
  <c r="C259" i="2" s="1"/>
  <c r="C250" i="2"/>
  <c r="C249" i="2"/>
  <c r="B251" i="2"/>
  <c r="B259" i="2" s="1"/>
  <c r="B250" i="2"/>
  <c r="B249" i="2"/>
  <c r="M297" i="4"/>
  <c r="P297" i="4" s="1"/>
  <c r="M294" i="4"/>
  <c r="P294" i="4" s="1"/>
  <c r="M293" i="4"/>
  <c r="P293" i="4" s="1"/>
  <c r="H294" i="4"/>
  <c r="J294" i="4" s="1"/>
  <c r="G295" i="4"/>
  <c r="G296" i="4"/>
  <c r="G297" i="4"/>
  <c r="D295" i="4"/>
  <c r="D296" i="4"/>
  <c r="D297" i="4"/>
  <c r="E187" i="3"/>
  <c r="D248" i="2"/>
  <c r="D258" i="2" s="1"/>
  <c r="D247" i="2"/>
  <c r="D246" i="2"/>
  <c r="C248" i="2"/>
  <c r="C258" i="2" s="1"/>
  <c r="C247" i="2"/>
  <c r="C246" i="2"/>
  <c r="B248" i="2"/>
  <c r="B258" i="2" s="1"/>
  <c r="B247" i="2"/>
  <c r="B246" i="2"/>
  <c r="E292" i="4"/>
  <c r="E304" i="4" s="1"/>
  <c r="E291" i="4"/>
  <c r="E290" i="4"/>
  <c r="G290" i="4" s="1"/>
  <c r="E289" i="4"/>
  <c r="M292" i="4"/>
  <c r="M291" i="4"/>
  <c r="M290" i="4"/>
  <c r="P290" i="4" s="1"/>
  <c r="M289" i="4"/>
  <c r="H293" i="4"/>
  <c r="J293" i="4" s="1"/>
  <c r="H292" i="4"/>
  <c r="J292" i="4" s="1"/>
  <c r="G293" i="4"/>
  <c r="G294" i="4"/>
  <c r="D292" i="4"/>
  <c r="D293" i="4"/>
  <c r="D294" i="4"/>
  <c r="E186" i="3"/>
  <c r="D245" i="2"/>
  <c r="D257" i="2" s="1"/>
  <c r="D244" i="2"/>
  <c r="D243" i="2"/>
  <c r="C245" i="2"/>
  <c r="C257" i="2" s="1"/>
  <c r="C244" i="2"/>
  <c r="C243" i="2"/>
  <c r="B245" i="2"/>
  <c r="B257" i="2" s="1"/>
  <c r="B244" i="2"/>
  <c r="B243" i="2"/>
  <c r="H291" i="4"/>
  <c r="J291" i="4" s="1"/>
  <c r="H290" i="4"/>
  <c r="J290" i="4" s="1"/>
  <c r="H289" i="4"/>
  <c r="P291" i="4"/>
  <c r="G291" i="4"/>
  <c r="D291" i="4"/>
  <c r="D290" i="4"/>
  <c r="P289" i="4"/>
  <c r="D289" i="4"/>
  <c r="D230" i="2"/>
  <c r="D240" i="2" s="1"/>
  <c r="D229" i="2"/>
  <c r="D228" i="2"/>
  <c r="C230" i="2"/>
  <c r="C240" i="2" s="1"/>
  <c r="C229" i="2"/>
  <c r="C228" i="2"/>
  <c r="B230" i="2"/>
  <c r="B240" i="2" s="1"/>
  <c r="B229" i="2"/>
  <c r="B228" i="2"/>
  <c r="E156" i="3"/>
  <c r="E157" i="3"/>
  <c r="E158" i="3"/>
  <c r="E164" i="3" s="1"/>
  <c r="M277" i="4"/>
  <c r="P277" i="4" s="1"/>
  <c r="M276" i="4"/>
  <c r="M275" i="4"/>
  <c r="M274" i="4"/>
  <c r="M273" i="4"/>
  <c r="P273" i="4" s="1"/>
  <c r="M272" i="4"/>
  <c r="P272" i="4" s="1"/>
  <c r="M271" i="4"/>
  <c r="P271" i="4" s="1"/>
  <c r="M270" i="4"/>
  <c r="M269" i="4"/>
  <c r="P269" i="4" s="1"/>
  <c r="M268" i="4"/>
  <c r="P268" i="4" s="1"/>
  <c r="M267" i="4"/>
  <c r="P267" i="4" s="1"/>
  <c r="M266" i="4"/>
  <c r="P266" i="4" s="1"/>
  <c r="H277" i="4"/>
  <c r="J277" i="4" s="1"/>
  <c r="H276" i="4"/>
  <c r="J276" i="4" s="1"/>
  <c r="H275" i="4"/>
  <c r="J275" i="4" s="1"/>
  <c r="H274" i="4"/>
  <c r="J274" i="4" s="1"/>
  <c r="H273" i="4"/>
  <c r="J273" i="4" s="1"/>
  <c r="H272" i="4"/>
  <c r="H271" i="4"/>
  <c r="J271" i="4" s="1"/>
  <c r="H270" i="4"/>
  <c r="J270" i="4" s="1"/>
  <c r="H269" i="4"/>
  <c r="J269" i="4" s="1"/>
  <c r="H268" i="4"/>
  <c r="J268" i="4" s="1"/>
  <c r="H266" i="4"/>
  <c r="J266" i="4" s="1"/>
  <c r="H267" i="4"/>
  <c r="J267" i="4" s="1"/>
  <c r="E277" i="4"/>
  <c r="E283" i="4" s="1"/>
  <c r="E273" i="4"/>
  <c r="G273" i="4" s="1"/>
  <c r="E272" i="4"/>
  <c r="E271" i="4"/>
  <c r="G271" i="4" s="1"/>
  <c r="E270" i="4"/>
  <c r="G270" i="4" s="1"/>
  <c r="E268" i="4"/>
  <c r="G268" i="4" s="1"/>
  <c r="E267" i="4"/>
  <c r="G267" i="4" s="1"/>
  <c r="E266" i="4"/>
  <c r="G266" i="4" s="1"/>
  <c r="D275" i="4"/>
  <c r="D276" i="4"/>
  <c r="D277" i="4"/>
  <c r="G275" i="4"/>
  <c r="G276" i="4"/>
  <c r="P276" i="4"/>
  <c r="E153" i="3"/>
  <c r="E154" i="3"/>
  <c r="E155" i="3"/>
  <c r="E163" i="3" s="1"/>
  <c r="D227" i="2"/>
  <c r="D239" i="2" s="1"/>
  <c r="D226" i="2"/>
  <c r="D225" i="2"/>
  <c r="C227" i="2"/>
  <c r="C239" i="2" s="1"/>
  <c r="C226" i="2"/>
  <c r="C225" i="2"/>
  <c r="B227" i="2"/>
  <c r="B239" i="2" s="1"/>
  <c r="B226" i="2"/>
  <c r="B225" i="2"/>
  <c r="D272" i="4"/>
  <c r="D273" i="4"/>
  <c r="D274" i="4"/>
  <c r="G274" i="4"/>
  <c r="P274" i="4"/>
  <c r="E152" i="3"/>
  <c r="E162" i="3" s="1"/>
  <c r="E151" i="3"/>
  <c r="E150" i="3"/>
  <c r="C224" i="2"/>
  <c r="C238" i="2" s="1"/>
  <c r="D224" i="2"/>
  <c r="D238" i="2" s="1"/>
  <c r="C223" i="2"/>
  <c r="D223" i="2"/>
  <c r="C222" i="2"/>
  <c r="D222" i="2"/>
  <c r="D271" i="4"/>
  <c r="D270" i="4"/>
  <c r="P270" i="4"/>
  <c r="D269" i="4"/>
  <c r="G269" i="4"/>
  <c r="E149" i="3"/>
  <c r="E161" i="3" s="1"/>
  <c r="E148" i="3"/>
  <c r="E147" i="3"/>
  <c r="D220" i="2"/>
  <c r="D221" i="2"/>
  <c r="D237" i="2" s="1"/>
  <c r="D219" i="2"/>
  <c r="C221" i="2"/>
  <c r="C237" i="2" s="1"/>
  <c r="C220" i="2"/>
  <c r="C219" i="2"/>
  <c r="B221" i="2"/>
  <c r="B237" i="2" s="1"/>
  <c r="B220" i="2"/>
  <c r="B219" i="2"/>
  <c r="D266" i="4"/>
  <c r="D267" i="4"/>
  <c r="D268" i="4"/>
  <c r="D210" i="2"/>
  <c r="D110" i="2" s="1"/>
  <c r="D209" i="2"/>
  <c r="D208" i="2"/>
  <c r="C210" i="2"/>
  <c r="C110" i="2" s="1"/>
  <c r="C209" i="2"/>
  <c r="C208" i="2"/>
  <c r="B210" i="2"/>
  <c r="B110" i="2" s="1"/>
  <c r="B209" i="2"/>
  <c r="B208" i="2"/>
  <c r="B207" i="2"/>
  <c r="B215" i="2" s="1"/>
  <c r="E131" i="3"/>
  <c r="E132" i="3"/>
  <c r="E133" i="3"/>
  <c r="E144" i="3" s="1"/>
  <c r="M260" i="4"/>
  <c r="P260" i="4" s="1"/>
  <c r="F261" i="4"/>
  <c r="F260" i="4"/>
  <c r="F259" i="4"/>
  <c r="F257" i="4"/>
  <c r="F258" i="4" s="1"/>
  <c r="M261" i="4"/>
  <c r="P261" i="4" s="1"/>
  <c r="M259" i="4"/>
  <c r="P259" i="4" s="1"/>
  <c r="J261" i="4"/>
  <c r="J260" i="4"/>
  <c r="J259" i="4"/>
  <c r="E261" i="4"/>
  <c r="E260" i="4"/>
  <c r="E259" i="4"/>
  <c r="D261" i="4"/>
  <c r="D260" i="4"/>
  <c r="D259" i="4"/>
  <c r="E130" i="3"/>
  <c r="E143" i="3" s="1"/>
  <c r="E129" i="3"/>
  <c r="E128" i="3"/>
  <c r="C207" i="2"/>
  <c r="C215" i="2" s="1"/>
  <c r="D207" i="2"/>
  <c r="B206" i="2"/>
  <c r="C206" i="2"/>
  <c r="D206" i="2"/>
  <c r="B205" i="2"/>
  <c r="C205" i="2"/>
  <c r="D205" i="2"/>
  <c r="D257" i="4"/>
  <c r="E257" i="4"/>
  <c r="J257" i="4"/>
  <c r="P257" i="4"/>
  <c r="D256" i="4"/>
  <c r="E256" i="4"/>
  <c r="G256" i="4" s="1"/>
  <c r="J256" i="4"/>
  <c r="P256" i="4"/>
  <c r="D255" i="4"/>
  <c r="E255" i="4"/>
  <c r="E258" i="4" s="1"/>
  <c r="J255" i="4"/>
  <c r="P255" i="4"/>
  <c r="S15" i="4"/>
  <c r="S16" i="4"/>
  <c r="S17" i="4"/>
  <c r="P18" i="4"/>
  <c r="S18" i="4"/>
  <c r="P19" i="4"/>
  <c r="Q19" i="4" s="1"/>
  <c r="S19" i="4" s="1"/>
  <c r="G20" i="4"/>
  <c r="P20" i="4"/>
  <c r="Q20" i="4" s="1"/>
  <c r="S20" i="4" s="1"/>
  <c r="D21" i="4"/>
  <c r="G21" i="4"/>
  <c r="J21" i="4"/>
  <c r="P21" i="4"/>
  <c r="D22" i="4"/>
  <c r="G22" i="4"/>
  <c r="J22" i="4"/>
  <c r="P22" i="4"/>
  <c r="D23" i="4"/>
  <c r="G23" i="4"/>
  <c r="J23" i="4"/>
  <c r="P23" i="4"/>
  <c r="D24" i="4"/>
  <c r="G24" i="4"/>
  <c r="J24" i="4"/>
  <c r="P24" i="4"/>
  <c r="D25" i="4"/>
  <c r="G25" i="4"/>
  <c r="J25" i="4"/>
  <c r="P25" i="4"/>
  <c r="D26" i="4"/>
  <c r="G26" i="4"/>
  <c r="J26" i="4"/>
  <c r="P26" i="4"/>
  <c r="D27" i="4"/>
  <c r="G27" i="4"/>
  <c r="J27" i="4"/>
  <c r="P27" i="4"/>
  <c r="D28" i="4"/>
  <c r="G28" i="4"/>
  <c r="J28" i="4"/>
  <c r="P28" i="4"/>
  <c r="D29" i="4"/>
  <c r="G29" i="4"/>
  <c r="J29" i="4"/>
  <c r="P29" i="4"/>
  <c r="D30" i="4"/>
  <c r="G30" i="4"/>
  <c r="J30" i="4"/>
  <c r="P30" i="4"/>
  <c r="D31" i="4"/>
  <c r="G31" i="4"/>
  <c r="J31" i="4"/>
  <c r="P31" i="4"/>
  <c r="D32" i="4"/>
  <c r="G32" i="4"/>
  <c r="J32" i="4"/>
  <c r="P32" i="4"/>
  <c r="D33" i="4"/>
  <c r="G33" i="4"/>
  <c r="J33" i="4"/>
  <c r="P33" i="4"/>
  <c r="D34" i="4"/>
  <c r="G34" i="4"/>
  <c r="J34" i="4"/>
  <c r="P34" i="4"/>
  <c r="D35" i="4"/>
  <c r="G35" i="4"/>
  <c r="J35" i="4"/>
  <c r="P35" i="4"/>
  <c r="D36" i="4"/>
  <c r="G36" i="4"/>
  <c r="J36" i="4"/>
  <c r="P36" i="4"/>
  <c r="D37" i="4"/>
  <c r="G37" i="4"/>
  <c r="J37" i="4"/>
  <c r="P37" i="4"/>
  <c r="D38" i="4"/>
  <c r="G38" i="4"/>
  <c r="J38" i="4"/>
  <c r="P38" i="4"/>
  <c r="D39" i="4"/>
  <c r="G39" i="4"/>
  <c r="J39" i="4"/>
  <c r="P39" i="4"/>
  <c r="D40" i="4"/>
  <c r="G40" i="4"/>
  <c r="J40" i="4"/>
  <c r="P40" i="4"/>
  <c r="D41" i="4"/>
  <c r="G41" i="4"/>
  <c r="J41" i="4"/>
  <c r="P41" i="4"/>
  <c r="D42" i="4"/>
  <c r="G42" i="4"/>
  <c r="J42" i="4"/>
  <c r="P42" i="4"/>
  <c r="D43" i="4"/>
  <c r="G43" i="4"/>
  <c r="J43" i="4"/>
  <c r="P43" i="4"/>
  <c r="D44" i="4"/>
  <c r="G44" i="4"/>
  <c r="J44" i="4"/>
  <c r="P44" i="4"/>
  <c r="D45" i="4"/>
  <c r="G45" i="4"/>
  <c r="J45" i="4"/>
  <c r="P45" i="4"/>
  <c r="D46" i="4"/>
  <c r="G46" i="4"/>
  <c r="J46" i="4"/>
  <c r="P46" i="4"/>
  <c r="D47" i="4"/>
  <c r="G47" i="4"/>
  <c r="J47" i="4"/>
  <c r="P47" i="4"/>
  <c r="D48" i="4"/>
  <c r="G48" i="4"/>
  <c r="J48" i="4"/>
  <c r="P48" i="4"/>
  <c r="D49" i="4"/>
  <c r="G49" i="4"/>
  <c r="J49" i="4"/>
  <c r="P49" i="4"/>
  <c r="D50" i="4"/>
  <c r="G50" i="4"/>
  <c r="J50" i="4"/>
  <c r="P50" i="4"/>
  <c r="D51" i="4"/>
  <c r="G51" i="4"/>
  <c r="J51" i="4"/>
  <c r="P51" i="4"/>
  <c r="D52" i="4"/>
  <c r="G52" i="4"/>
  <c r="J52" i="4"/>
  <c r="P52" i="4"/>
  <c r="D53" i="4"/>
  <c r="G53" i="4"/>
  <c r="J53" i="4"/>
  <c r="P53" i="4"/>
  <c r="D54" i="4"/>
  <c r="G54" i="4"/>
  <c r="J54" i="4"/>
  <c r="P54" i="4"/>
  <c r="D55" i="4"/>
  <c r="G55" i="4"/>
  <c r="J55" i="4"/>
  <c r="P55" i="4"/>
  <c r="D56" i="4"/>
  <c r="G56" i="4"/>
  <c r="J56" i="4"/>
  <c r="P56" i="4"/>
  <c r="D57" i="4"/>
  <c r="G57" i="4"/>
  <c r="J57" i="4"/>
  <c r="P57" i="4"/>
  <c r="D58" i="4"/>
  <c r="G58" i="4"/>
  <c r="J58" i="4"/>
  <c r="P58" i="4"/>
  <c r="D59" i="4"/>
  <c r="G59" i="4"/>
  <c r="J59" i="4"/>
  <c r="P59" i="4"/>
  <c r="D60" i="4"/>
  <c r="G60" i="4"/>
  <c r="J60" i="4"/>
  <c r="P60" i="4"/>
  <c r="D61" i="4"/>
  <c r="G61" i="4"/>
  <c r="J61" i="4"/>
  <c r="P61" i="4"/>
  <c r="D62" i="4"/>
  <c r="G62" i="4"/>
  <c r="J62" i="4"/>
  <c r="P62" i="4"/>
  <c r="D63" i="4"/>
  <c r="G63" i="4"/>
  <c r="J63" i="4"/>
  <c r="P63" i="4"/>
  <c r="D64" i="4"/>
  <c r="G64" i="4"/>
  <c r="J64" i="4"/>
  <c r="P64" i="4"/>
  <c r="D65" i="4"/>
  <c r="G65" i="4"/>
  <c r="J65" i="4"/>
  <c r="P65" i="4"/>
  <c r="D66" i="4"/>
  <c r="G66" i="4"/>
  <c r="J66" i="4"/>
  <c r="P66" i="4"/>
  <c r="D67" i="4"/>
  <c r="G67" i="4"/>
  <c r="J67" i="4"/>
  <c r="P67" i="4"/>
  <c r="D68" i="4"/>
  <c r="G68" i="4"/>
  <c r="J68" i="4"/>
  <c r="P68" i="4"/>
  <c r="D69" i="4"/>
  <c r="G69" i="4"/>
  <c r="J69" i="4"/>
  <c r="P69" i="4"/>
  <c r="D70" i="4"/>
  <c r="G70" i="4"/>
  <c r="J70" i="4"/>
  <c r="P70" i="4"/>
  <c r="D71" i="4"/>
  <c r="G71" i="4"/>
  <c r="J71" i="4"/>
  <c r="P71" i="4"/>
  <c r="D72" i="4"/>
  <c r="G72" i="4"/>
  <c r="J72" i="4"/>
  <c r="P72" i="4"/>
  <c r="D73" i="4"/>
  <c r="G73" i="4"/>
  <c r="J73" i="4"/>
  <c r="P73" i="4"/>
  <c r="D74" i="4"/>
  <c r="G74" i="4"/>
  <c r="J74" i="4"/>
  <c r="P74" i="4"/>
  <c r="D75" i="4"/>
  <c r="G75" i="4"/>
  <c r="J75" i="4"/>
  <c r="P75" i="4"/>
  <c r="D76" i="4"/>
  <c r="G76" i="4"/>
  <c r="J76" i="4"/>
  <c r="P76" i="4"/>
  <c r="D77" i="4"/>
  <c r="G77" i="4"/>
  <c r="J77" i="4"/>
  <c r="P77" i="4"/>
  <c r="D78" i="4"/>
  <c r="G78" i="4"/>
  <c r="J78" i="4"/>
  <c r="P78" i="4"/>
  <c r="D79" i="4"/>
  <c r="G79" i="4"/>
  <c r="J79" i="4"/>
  <c r="P79" i="4"/>
  <c r="D80" i="4"/>
  <c r="G80" i="4"/>
  <c r="J80" i="4"/>
  <c r="P80" i="4"/>
  <c r="D81" i="4"/>
  <c r="G81" i="4"/>
  <c r="J81" i="4"/>
  <c r="P81" i="4"/>
  <c r="D82" i="4"/>
  <c r="G82" i="4"/>
  <c r="J82" i="4"/>
  <c r="P82" i="4"/>
  <c r="D83" i="4"/>
  <c r="G83" i="4"/>
  <c r="J83" i="4"/>
  <c r="P83" i="4"/>
  <c r="D84" i="4"/>
  <c r="G84" i="4"/>
  <c r="J84" i="4"/>
  <c r="P84" i="4"/>
  <c r="D85" i="4"/>
  <c r="G85" i="4"/>
  <c r="J85" i="4"/>
  <c r="P85" i="4"/>
  <c r="D86" i="4"/>
  <c r="G86" i="4"/>
  <c r="J86" i="4"/>
  <c r="P86" i="4"/>
  <c r="D87" i="4"/>
  <c r="G87" i="4"/>
  <c r="J87" i="4"/>
  <c r="P87" i="4"/>
  <c r="D88" i="4"/>
  <c r="G88" i="4"/>
  <c r="J88" i="4"/>
  <c r="P88" i="4"/>
  <c r="D89" i="4"/>
  <c r="G89" i="4"/>
  <c r="J89" i="4"/>
  <c r="P89" i="4"/>
  <c r="D90" i="4"/>
  <c r="G90" i="4"/>
  <c r="J90" i="4"/>
  <c r="P90" i="4"/>
  <c r="D91" i="4"/>
  <c r="G91" i="4"/>
  <c r="J91" i="4"/>
  <c r="P91" i="4"/>
  <c r="D92" i="4"/>
  <c r="G92" i="4"/>
  <c r="J92" i="4"/>
  <c r="P92" i="4"/>
  <c r="D93" i="4"/>
  <c r="G93" i="4"/>
  <c r="J93" i="4"/>
  <c r="P93" i="4"/>
  <c r="D94" i="4"/>
  <c r="G94" i="4"/>
  <c r="J94" i="4"/>
  <c r="P94" i="4"/>
  <c r="D95" i="4"/>
  <c r="G95" i="4"/>
  <c r="J95" i="4"/>
  <c r="P95" i="4"/>
  <c r="D96" i="4"/>
  <c r="G96" i="4"/>
  <c r="J96" i="4"/>
  <c r="P96" i="4"/>
  <c r="D97" i="4"/>
  <c r="G97" i="4"/>
  <c r="J97" i="4"/>
  <c r="P97" i="4"/>
  <c r="D98" i="4"/>
  <c r="G98" i="4"/>
  <c r="J98" i="4"/>
  <c r="P98" i="4"/>
  <c r="D99" i="4"/>
  <c r="G99" i="4"/>
  <c r="J99" i="4"/>
  <c r="P99" i="4"/>
  <c r="D100" i="4"/>
  <c r="G100" i="4"/>
  <c r="J100" i="4"/>
  <c r="P100" i="4"/>
  <c r="D101" i="4"/>
  <c r="G101" i="4"/>
  <c r="J101" i="4"/>
  <c r="P101" i="4"/>
  <c r="D102" i="4"/>
  <c r="F102" i="4"/>
  <c r="G102" i="4" s="1"/>
  <c r="I102" i="4"/>
  <c r="J102" i="4" s="1"/>
  <c r="P102" i="4"/>
  <c r="D103" i="4"/>
  <c r="G103" i="4"/>
  <c r="J103" i="4"/>
  <c r="P103" i="4"/>
  <c r="D104" i="4"/>
  <c r="G104" i="4"/>
  <c r="J104" i="4"/>
  <c r="P104" i="4"/>
  <c r="D105" i="4"/>
  <c r="G105" i="4"/>
  <c r="J105" i="4"/>
  <c r="P105" i="4"/>
  <c r="D106" i="4"/>
  <c r="G106" i="4"/>
  <c r="J106" i="4"/>
  <c r="P106" i="4"/>
  <c r="B107" i="4"/>
  <c r="C107" i="4"/>
  <c r="E107" i="4"/>
  <c r="F107" i="4"/>
  <c r="H107" i="4"/>
  <c r="J107" i="4" s="1"/>
  <c r="K107" i="4"/>
  <c r="M107" i="4"/>
  <c r="N107" i="4"/>
  <c r="N111" i="4" s="1"/>
  <c r="O107" i="4"/>
  <c r="O111" i="4" s="1"/>
  <c r="R107" i="4"/>
  <c r="B108" i="4"/>
  <c r="C108" i="4"/>
  <c r="C111" i="4" s="1"/>
  <c r="E108" i="4"/>
  <c r="F108" i="4"/>
  <c r="H108" i="4"/>
  <c r="J108" i="4" s="1"/>
  <c r="K108" i="4"/>
  <c r="K111" i="4" s="1"/>
  <c r="M108" i="4"/>
  <c r="N108" i="4"/>
  <c r="O108" i="4"/>
  <c r="R108" i="4"/>
  <c r="B109" i="4"/>
  <c r="C109" i="4"/>
  <c r="E109" i="4"/>
  <c r="F109" i="4"/>
  <c r="H109" i="4"/>
  <c r="J109" i="4" s="1"/>
  <c r="K109" i="4"/>
  <c r="M109" i="4"/>
  <c r="O109" i="4"/>
  <c r="R109" i="4"/>
  <c r="D110" i="4"/>
  <c r="G110" i="4"/>
  <c r="J110" i="4"/>
  <c r="P110" i="4"/>
  <c r="D112" i="4"/>
  <c r="G112" i="4"/>
  <c r="J112" i="4"/>
  <c r="P112" i="4"/>
  <c r="D113" i="4"/>
  <c r="G113" i="4"/>
  <c r="J113" i="4"/>
  <c r="P113" i="4"/>
  <c r="D114" i="4"/>
  <c r="G114" i="4"/>
  <c r="J114" i="4"/>
  <c r="P114" i="4"/>
  <c r="D115" i="4"/>
  <c r="G115" i="4"/>
  <c r="J115" i="4"/>
  <c r="P115" i="4"/>
  <c r="D116" i="4"/>
  <c r="G116" i="4"/>
  <c r="J116" i="4"/>
  <c r="P116" i="4"/>
  <c r="D117" i="4"/>
  <c r="G117" i="4"/>
  <c r="J117" i="4"/>
  <c r="P117" i="4"/>
  <c r="D118" i="4"/>
  <c r="G118" i="4"/>
  <c r="J118" i="4"/>
  <c r="P118" i="4"/>
  <c r="D119" i="4"/>
  <c r="G119" i="4"/>
  <c r="J119" i="4"/>
  <c r="P119" i="4"/>
  <c r="D120" i="4"/>
  <c r="G120" i="4"/>
  <c r="J120" i="4"/>
  <c r="P120" i="4"/>
  <c r="D121" i="4"/>
  <c r="G121" i="4"/>
  <c r="J121" i="4"/>
  <c r="P121" i="4"/>
  <c r="D122" i="4"/>
  <c r="G122" i="4"/>
  <c r="J122" i="4"/>
  <c r="P122" i="4"/>
  <c r="D123" i="4"/>
  <c r="G123" i="4"/>
  <c r="J123" i="4"/>
  <c r="P123" i="4"/>
  <c r="D124" i="4"/>
  <c r="G124" i="4"/>
  <c r="J124" i="4"/>
  <c r="P124" i="4"/>
  <c r="B125" i="4"/>
  <c r="C125" i="4"/>
  <c r="E125" i="4"/>
  <c r="F125" i="4"/>
  <c r="H125" i="4"/>
  <c r="J125" i="4" s="1"/>
  <c r="K125" i="4"/>
  <c r="M125" i="4"/>
  <c r="O125" i="4"/>
  <c r="R125" i="4"/>
  <c r="D126" i="4"/>
  <c r="G126" i="4"/>
  <c r="J126" i="4"/>
  <c r="P126" i="4"/>
  <c r="D127" i="4"/>
  <c r="G127" i="4"/>
  <c r="J127" i="4"/>
  <c r="P127" i="4"/>
  <c r="B128" i="4"/>
  <c r="C128" i="4"/>
  <c r="E128" i="4"/>
  <c r="E132" i="4" s="1"/>
  <c r="F128" i="4"/>
  <c r="H128" i="4"/>
  <c r="J128" i="4" s="1"/>
  <c r="K128" i="4"/>
  <c r="M128" i="4"/>
  <c r="O128" i="4"/>
  <c r="R128" i="4"/>
  <c r="B129" i="4"/>
  <c r="C129" i="4"/>
  <c r="E129" i="4"/>
  <c r="F129" i="4"/>
  <c r="H129" i="4"/>
  <c r="J129" i="4" s="1"/>
  <c r="K129" i="4"/>
  <c r="M129" i="4"/>
  <c r="O129" i="4"/>
  <c r="R129" i="4"/>
  <c r="B130" i="4"/>
  <c r="D130" i="4" s="1"/>
  <c r="C130" i="4"/>
  <c r="E130" i="4"/>
  <c r="F130" i="4"/>
  <c r="H130" i="4"/>
  <c r="I130" i="4"/>
  <c r="K130" i="4"/>
  <c r="M130" i="4"/>
  <c r="N130" i="4"/>
  <c r="O130" i="4"/>
  <c r="R130" i="4"/>
  <c r="B131" i="4"/>
  <c r="C131" i="4"/>
  <c r="E131" i="4"/>
  <c r="F131" i="4"/>
  <c r="H131" i="4"/>
  <c r="I131" i="4"/>
  <c r="K131" i="4"/>
  <c r="M131" i="4"/>
  <c r="N131" i="4"/>
  <c r="O131" i="4"/>
  <c r="R131" i="4"/>
  <c r="D134" i="4"/>
  <c r="G134" i="4"/>
  <c r="J134" i="4"/>
  <c r="P134" i="4"/>
  <c r="B135" i="4"/>
  <c r="C135" i="4"/>
  <c r="E135" i="4"/>
  <c r="F135" i="4"/>
  <c r="H135" i="4"/>
  <c r="J135" i="4" s="1"/>
  <c r="K135" i="4"/>
  <c r="M135" i="4"/>
  <c r="N135" i="4"/>
  <c r="O135" i="4"/>
  <c r="R135" i="4"/>
  <c r="D136" i="4"/>
  <c r="G136" i="4"/>
  <c r="J136" i="4"/>
  <c r="P136" i="4"/>
  <c r="D137" i="4"/>
  <c r="G137" i="4"/>
  <c r="J137" i="4"/>
  <c r="P137" i="4"/>
  <c r="D138" i="4"/>
  <c r="G138" i="4"/>
  <c r="J138" i="4"/>
  <c r="P138" i="4"/>
  <c r="D139" i="4"/>
  <c r="G139" i="4"/>
  <c r="J139" i="4"/>
  <c r="P139" i="4"/>
  <c r="D140" i="4"/>
  <c r="G140" i="4"/>
  <c r="J140" i="4"/>
  <c r="P140" i="4"/>
  <c r="D141" i="4"/>
  <c r="G141" i="4"/>
  <c r="J141" i="4"/>
  <c r="P141" i="4"/>
  <c r="D142" i="4"/>
  <c r="G142" i="4"/>
  <c r="J142" i="4"/>
  <c r="P142" i="4"/>
  <c r="D143" i="4"/>
  <c r="G143" i="4"/>
  <c r="J143" i="4"/>
  <c r="P143" i="4"/>
  <c r="D144" i="4"/>
  <c r="G144" i="4"/>
  <c r="J144" i="4"/>
  <c r="P144" i="4"/>
  <c r="D145" i="4"/>
  <c r="G145" i="4"/>
  <c r="J145" i="4"/>
  <c r="P145" i="4"/>
  <c r="D146" i="4"/>
  <c r="G146" i="4"/>
  <c r="J146" i="4"/>
  <c r="P146" i="4"/>
  <c r="D147" i="4"/>
  <c r="G147" i="4"/>
  <c r="J147" i="4"/>
  <c r="P147" i="4"/>
  <c r="D148" i="4"/>
  <c r="G148" i="4"/>
  <c r="J148" i="4"/>
  <c r="P148" i="4"/>
  <c r="D149" i="4"/>
  <c r="G149" i="4"/>
  <c r="J149" i="4"/>
  <c r="P149" i="4"/>
  <c r="D150" i="4"/>
  <c r="G150" i="4"/>
  <c r="J150" i="4"/>
  <c r="P150" i="4"/>
  <c r="D151" i="4"/>
  <c r="G151" i="4"/>
  <c r="J151" i="4"/>
  <c r="P151" i="4"/>
  <c r="D152" i="4"/>
  <c r="G152" i="4"/>
  <c r="J152" i="4"/>
  <c r="P152" i="4"/>
  <c r="D153" i="4"/>
  <c r="G153" i="4"/>
  <c r="J153" i="4"/>
  <c r="P153" i="4"/>
  <c r="D154" i="4"/>
  <c r="G154" i="4"/>
  <c r="J154" i="4"/>
  <c r="P154" i="4"/>
  <c r="D155" i="4"/>
  <c r="G155" i="4"/>
  <c r="J155" i="4"/>
  <c r="P155" i="4"/>
  <c r="G156" i="4"/>
  <c r="G157" i="4"/>
  <c r="D158" i="4"/>
  <c r="G158" i="4"/>
  <c r="J158" i="4"/>
  <c r="P158" i="4"/>
  <c r="D159" i="4"/>
  <c r="G159" i="4"/>
  <c r="J159" i="4"/>
  <c r="P159" i="4"/>
  <c r="D160" i="4"/>
  <c r="G160" i="4"/>
  <c r="J160" i="4"/>
  <c r="P160" i="4"/>
  <c r="B161" i="4"/>
  <c r="C161" i="4"/>
  <c r="E161" i="4"/>
  <c r="F161" i="4"/>
  <c r="H161" i="4"/>
  <c r="I161" i="4"/>
  <c r="K161" i="4"/>
  <c r="M161" i="4"/>
  <c r="N161" i="4"/>
  <c r="O161" i="4"/>
  <c r="R161" i="4"/>
  <c r="R174" i="4" s="1"/>
  <c r="D162" i="4"/>
  <c r="G162" i="4"/>
  <c r="J162" i="4"/>
  <c r="P162" i="4"/>
  <c r="D163" i="4"/>
  <c r="G163" i="4"/>
  <c r="J163" i="4"/>
  <c r="P163" i="4"/>
  <c r="D164" i="4"/>
  <c r="G164" i="4"/>
  <c r="J164" i="4"/>
  <c r="P164" i="4"/>
  <c r="B165" i="4"/>
  <c r="C165" i="4"/>
  <c r="E165" i="4"/>
  <c r="F165" i="4"/>
  <c r="H165" i="4"/>
  <c r="I165" i="4"/>
  <c r="K165" i="4"/>
  <c r="M165" i="4"/>
  <c r="N165" i="4"/>
  <c r="O165" i="4"/>
  <c r="R165" i="4"/>
  <c r="D166" i="4"/>
  <c r="G166" i="4"/>
  <c r="J166" i="4"/>
  <c r="P166" i="4"/>
  <c r="D167" i="4"/>
  <c r="G167" i="4"/>
  <c r="J167" i="4"/>
  <c r="P167" i="4"/>
  <c r="D168" i="4"/>
  <c r="G168" i="4"/>
  <c r="J168" i="4"/>
  <c r="P168" i="4"/>
  <c r="B169" i="4"/>
  <c r="C169" i="4"/>
  <c r="E169" i="4"/>
  <c r="F169" i="4"/>
  <c r="H169" i="4"/>
  <c r="I169" i="4"/>
  <c r="K169" i="4"/>
  <c r="M169" i="4"/>
  <c r="N169" i="4"/>
  <c r="O169" i="4"/>
  <c r="R169" i="4"/>
  <c r="D170" i="4"/>
  <c r="G170" i="4"/>
  <c r="J170" i="4"/>
  <c r="P170" i="4"/>
  <c r="D171" i="4"/>
  <c r="G171" i="4"/>
  <c r="J171" i="4"/>
  <c r="P171" i="4"/>
  <c r="D172" i="4"/>
  <c r="G172" i="4"/>
  <c r="J172" i="4"/>
  <c r="P172" i="4"/>
  <c r="B173" i="4"/>
  <c r="C173" i="4"/>
  <c r="E173" i="4"/>
  <c r="F173" i="4"/>
  <c r="H173" i="4"/>
  <c r="I173" i="4"/>
  <c r="K173" i="4"/>
  <c r="M173" i="4"/>
  <c r="N173" i="4"/>
  <c r="O173" i="4"/>
  <c r="R173" i="4"/>
  <c r="D176" i="4"/>
  <c r="G176" i="4"/>
  <c r="J176" i="4"/>
  <c r="P176" i="4"/>
  <c r="D177" i="4"/>
  <c r="G177" i="4"/>
  <c r="J177" i="4"/>
  <c r="P177" i="4"/>
  <c r="D178" i="4"/>
  <c r="G178" i="4"/>
  <c r="J178" i="4"/>
  <c r="P178" i="4"/>
  <c r="D179" i="4"/>
  <c r="G179" i="4"/>
  <c r="J179" i="4"/>
  <c r="P179" i="4"/>
  <c r="D181" i="4"/>
  <c r="G181" i="4"/>
  <c r="J181" i="4"/>
  <c r="P181" i="4"/>
  <c r="D182" i="4"/>
  <c r="G182" i="4"/>
  <c r="J182" i="4"/>
  <c r="P182" i="4"/>
  <c r="D183" i="4"/>
  <c r="G183" i="4"/>
  <c r="J183" i="4"/>
  <c r="P183" i="4"/>
  <c r="D184" i="4"/>
  <c r="G184" i="4"/>
  <c r="J184" i="4"/>
  <c r="P184" i="4"/>
  <c r="D185" i="4"/>
  <c r="G185" i="4"/>
  <c r="J185" i="4"/>
  <c r="P185" i="4"/>
  <c r="D186" i="4"/>
  <c r="G186" i="4"/>
  <c r="J186" i="4"/>
  <c r="P186" i="4"/>
  <c r="D187" i="4"/>
  <c r="G187" i="4"/>
  <c r="J187" i="4"/>
  <c r="P187" i="4"/>
  <c r="D188" i="4"/>
  <c r="G188" i="4"/>
  <c r="J188" i="4"/>
  <c r="P188" i="4"/>
  <c r="D189" i="4"/>
  <c r="G189" i="4"/>
  <c r="J189" i="4"/>
  <c r="P189" i="4"/>
  <c r="D190" i="4"/>
  <c r="G190" i="4"/>
  <c r="J190" i="4"/>
  <c r="P190" i="4"/>
  <c r="D191" i="4"/>
  <c r="G191" i="4"/>
  <c r="J191" i="4"/>
  <c r="P191" i="4"/>
  <c r="D192" i="4"/>
  <c r="G192" i="4"/>
  <c r="J192" i="4"/>
  <c r="P192" i="4"/>
  <c r="D196" i="4"/>
  <c r="G196" i="4"/>
  <c r="J196" i="4"/>
  <c r="P196" i="4"/>
  <c r="D197" i="4"/>
  <c r="G197" i="4"/>
  <c r="J197" i="4"/>
  <c r="P197" i="4"/>
  <c r="D198" i="4"/>
  <c r="G198" i="4"/>
  <c r="J198" i="4"/>
  <c r="P198" i="4"/>
  <c r="D199" i="4"/>
  <c r="G199" i="4"/>
  <c r="J199" i="4"/>
  <c r="P199" i="4"/>
  <c r="D200" i="4"/>
  <c r="G200" i="4"/>
  <c r="J200" i="4"/>
  <c r="P200" i="4"/>
  <c r="D201" i="4"/>
  <c r="G201" i="4"/>
  <c r="J201" i="4"/>
  <c r="P201" i="4"/>
  <c r="D202" i="4"/>
  <c r="G202" i="4"/>
  <c r="J202" i="4"/>
  <c r="P202" i="4"/>
  <c r="D203" i="4"/>
  <c r="G203" i="4"/>
  <c r="J203" i="4"/>
  <c r="P203" i="4"/>
  <c r="D204" i="4"/>
  <c r="G204" i="4"/>
  <c r="J204" i="4"/>
  <c r="P204" i="4"/>
  <c r="D205" i="4"/>
  <c r="G205" i="4"/>
  <c r="J205" i="4"/>
  <c r="P205" i="4"/>
  <c r="D206" i="4"/>
  <c r="G206" i="4"/>
  <c r="J206" i="4"/>
  <c r="P206" i="4"/>
  <c r="D207" i="4"/>
  <c r="G207" i="4"/>
  <c r="J207" i="4"/>
  <c r="P207" i="4"/>
  <c r="S208" i="4"/>
  <c r="S209" i="4"/>
  <c r="D210" i="4"/>
  <c r="G210" i="4"/>
  <c r="J210" i="4"/>
  <c r="P210" i="4"/>
  <c r="D211" i="4"/>
  <c r="G211" i="4"/>
  <c r="J211" i="4"/>
  <c r="P211" i="4"/>
  <c r="D212" i="4"/>
  <c r="G212" i="4"/>
  <c r="J212" i="4"/>
  <c r="P212" i="4"/>
  <c r="D213" i="4"/>
  <c r="G213" i="4"/>
  <c r="J213" i="4"/>
  <c r="P213" i="4"/>
  <c r="D214" i="4"/>
  <c r="G214" i="4"/>
  <c r="J214" i="4"/>
  <c r="P214" i="4"/>
  <c r="D215" i="4"/>
  <c r="G215" i="4"/>
  <c r="J215" i="4"/>
  <c r="P215" i="4"/>
  <c r="D216" i="4"/>
  <c r="G216" i="4"/>
  <c r="J216" i="4"/>
  <c r="P216" i="4"/>
  <c r="D217" i="4"/>
  <c r="G217" i="4"/>
  <c r="J217" i="4"/>
  <c r="P217" i="4"/>
  <c r="D218" i="4"/>
  <c r="G218" i="4"/>
  <c r="J218" i="4"/>
  <c r="P218" i="4"/>
  <c r="D219" i="4"/>
  <c r="G219" i="4"/>
  <c r="J219" i="4"/>
  <c r="P219" i="4"/>
  <c r="D220" i="4"/>
  <c r="G220" i="4"/>
  <c r="J220" i="4"/>
  <c r="P220" i="4"/>
  <c r="D221" i="4"/>
  <c r="G221" i="4"/>
  <c r="J221" i="4"/>
  <c r="P221" i="4"/>
  <c r="D222" i="4"/>
  <c r="P222" i="4"/>
  <c r="D229" i="4"/>
  <c r="G229" i="4"/>
  <c r="J229" i="4"/>
  <c r="P229" i="4"/>
  <c r="D230" i="4"/>
  <c r="G230" i="4"/>
  <c r="J230" i="4"/>
  <c r="P230" i="4"/>
  <c r="D231" i="4"/>
  <c r="G231" i="4"/>
  <c r="J231" i="4"/>
  <c r="P231" i="4"/>
  <c r="D233" i="4"/>
  <c r="G233" i="4"/>
  <c r="J233" i="4"/>
  <c r="P233" i="4"/>
  <c r="D234" i="4"/>
  <c r="G234" i="4"/>
  <c r="J234" i="4"/>
  <c r="P234" i="4"/>
  <c r="D235" i="4"/>
  <c r="G235" i="4"/>
  <c r="J235" i="4"/>
  <c r="P235" i="4"/>
  <c r="G237" i="4"/>
  <c r="J237" i="4"/>
  <c r="P237" i="4"/>
  <c r="G238" i="4"/>
  <c r="J238" i="4"/>
  <c r="P238" i="4"/>
  <c r="G239" i="4"/>
  <c r="J239" i="4"/>
  <c r="P239" i="4"/>
  <c r="D241" i="4"/>
  <c r="G241" i="4"/>
  <c r="J241" i="4"/>
  <c r="P241" i="4"/>
  <c r="D242" i="4"/>
  <c r="G242" i="4"/>
  <c r="J242" i="4"/>
  <c r="P242" i="4"/>
  <c r="D243" i="4"/>
  <c r="G243" i="4"/>
  <c r="J243" i="4"/>
  <c r="P243" i="4"/>
  <c r="D247" i="4"/>
  <c r="G247" i="4"/>
  <c r="J247" i="4"/>
  <c r="P247" i="4"/>
  <c r="D248" i="4"/>
  <c r="G248" i="4"/>
  <c r="J248" i="4"/>
  <c r="P248" i="4"/>
  <c r="D249" i="4"/>
  <c r="G249" i="4"/>
  <c r="G250" i="4" s="1"/>
  <c r="J249" i="4"/>
  <c r="P249" i="4"/>
  <c r="D251" i="4"/>
  <c r="G251" i="4"/>
  <c r="J251" i="4"/>
  <c r="P251" i="4"/>
  <c r="D252" i="4"/>
  <c r="G252" i="4"/>
  <c r="J252" i="4"/>
  <c r="P252" i="4"/>
  <c r="D253" i="4"/>
  <c r="G253" i="4"/>
  <c r="J253" i="4"/>
  <c r="P253" i="4"/>
  <c r="E125" i="3"/>
  <c r="E126" i="3"/>
  <c r="E127" i="3"/>
  <c r="E142" i="3" s="1"/>
  <c r="E202" i="2"/>
  <c r="E203" i="2"/>
  <c r="E204" i="2"/>
  <c r="E214" i="2" s="1"/>
  <c r="E201" i="2"/>
  <c r="E213" i="2" s="1"/>
  <c r="E200" i="2"/>
  <c r="E123" i="3"/>
  <c r="E124" i="3"/>
  <c r="E141" i="3" s="1"/>
  <c r="E122" i="3"/>
  <c r="E199" i="2"/>
  <c r="E49" i="3"/>
  <c r="E114" i="3"/>
  <c r="E115" i="3"/>
  <c r="E116" i="3"/>
  <c r="E137" i="3" s="1"/>
  <c r="E117" i="3"/>
  <c r="E118" i="3"/>
  <c r="E119" i="3"/>
  <c r="E138" i="3" s="1"/>
  <c r="B187" i="2"/>
  <c r="C187" i="2"/>
  <c r="D187" i="2"/>
  <c r="C188" i="2"/>
  <c r="D188" i="2"/>
  <c r="C189" i="2"/>
  <c r="C195" i="2" s="1"/>
  <c r="D189" i="2"/>
  <c r="D195" i="2" s="1"/>
  <c r="B190" i="2"/>
  <c r="C190" i="2"/>
  <c r="D190" i="2"/>
  <c r="B191" i="2"/>
  <c r="C191" i="2"/>
  <c r="D191" i="2"/>
  <c r="B192" i="2"/>
  <c r="B109" i="2" s="1"/>
  <c r="C192" i="2"/>
  <c r="C109" i="2" s="1"/>
  <c r="D192" i="2"/>
  <c r="D109" i="2" s="1"/>
  <c r="E113" i="3"/>
  <c r="E136" i="3" s="1"/>
  <c r="E109" i="3"/>
  <c r="E110" i="3"/>
  <c r="E135" i="3" s="1"/>
  <c r="E111" i="3"/>
  <c r="E112" i="3"/>
  <c r="E108" i="3"/>
  <c r="E105" i="3"/>
  <c r="E48" i="3"/>
  <c r="E98" i="3"/>
  <c r="E99" i="3"/>
  <c r="E100" i="3"/>
  <c r="E101" i="3"/>
  <c r="E102" i="3"/>
  <c r="E103" i="3"/>
  <c r="E104" i="3"/>
  <c r="E97" i="3"/>
  <c r="E96" i="3"/>
  <c r="E95" i="3"/>
  <c r="E94" i="3"/>
  <c r="E47" i="3"/>
  <c r="E63" i="3"/>
  <c r="E64" i="3"/>
  <c r="E86" i="3"/>
  <c r="E87" i="3"/>
  <c r="E88" i="3"/>
  <c r="E89" i="3"/>
  <c r="E90" i="3"/>
  <c r="E91" i="3"/>
  <c r="E81" i="3"/>
  <c r="E82" i="3"/>
  <c r="E83" i="3"/>
  <c r="E84" i="3"/>
  <c r="E85" i="3"/>
  <c r="E80" i="3"/>
  <c r="E46" i="3"/>
  <c r="E73" i="3"/>
  <c r="E72" i="3"/>
  <c r="E74" i="3"/>
  <c r="E75" i="3"/>
  <c r="E76" i="3"/>
  <c r="E77" i="3"/>
  <c r="C45" i="3"/>
  <c r="D45" i="3"/>
  <c r="E58" i="3"/>
  <c r="E45" i="3" s="1"/>
  <c r="B45" i="3"/>
  <c r="E55" i="3"/>
  <c r="E56" i="3"/>
  <c r="E57" i="3"/>
  <c r="E44" i="3"/>
  <c r="E17" i="3"/>
  <c r="E16" i="3"/>
  <c r="E28" i="3"/>
  <c r="E27" i="3"/>
  <c r="E14" i="3"/>
  <c r="E43" i="3"/>
  <c r="E42" i="3"/>
  <c r="E41" i="3"/>
  <c r="E40" i="3"/>
  <c r="E39" i="3"/>
  <c r="E38" i="3"/>
  <c r="E37" i="3"/>
  <c r="E36" i="3"/>
  <c r="E35" i="3"/>
  <c r="E34" i="3"/>
  <c r="E33" i="3"/>
  <c r="E32" i="3"/>
  <c r="E29" i="3"/>
  <c r="E26" i="3"/>
  <c r="E25" i="3"/>
  <c r="E24" i="3"/>
  <c r="E22" i="3"/>
  <c r="E21" i="3"/>
  <c r="E20" i="3"/>
  <c r="E13" i="3"/>
  <c r="E12" i="3"/>
  <c r="E11" i="3"/>
  <c r="E10" i="3"/>
  <c r="E9" i="3"/>
  <c r="E8" i="3"/>
  <c r="E186" i="2"/>
  <c r="E194" i="2" s="1"/>
  <c r="E182" i="2"/>
  <c r="E183" i="2"/>
  <c r="E193" i="2" s="1"/>
  <c r="E184" i="2"/>
  <c r="E185" i="2"/>
  <c r="E181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B50" i="2"/>
  <c r="C50" i="2"/>
  <c r="D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6" i="2"/>
  <c r="I132" i="4"/>
  <c r="B111" i="4"/>
  <c r="C216" i="2"/>
  <c r="B216" i="2" l="1"/>
  <c r="E50" i="3"/>
  <c r="D216" i="2"/>
  <c r="E188" i="2"/>
  <c r="E220" i="2"/>
  <c r="E210" i="2"/>
  <c r="E110" i="2" s="1"/>
  <c r="E124" i="2"/>
  <c r="E130" i="2"/>
  <c r="E284" i="2"/>
  <c r="E133" i="2"/>
  <c r="E285" i="2"/>
  <c r="E127" i="2"/>
  <c r="E179" i="2"/>
  <c r="L284" i="4"/>
  <c r="M174" i="4"/>
  <c r="F174" i="4"/>
  <c r="G165" i="4"/>
  <c r="I174" i="4"/>
  <c r="N132" i="4"/>
  <c r="K132" i="4"/>
  <c r="C132" i="4"/>
  <c r="R111" i="4"/>
  <c r="F111" i="4"/>
  <c r="H111" i="4"/>
  <c r="O132" i="4"/>
  <c r="R132" i="4"/>
  <c r="D125" i="4"/>
  <c r="M111" i="4"/>
  <c r="L144" i="4"/>
  <c r="L140" i="4"/>
  <c r="L136" i="4"/>
  <c r="L105" i="4"/>
  <c r="Q105" i="4" s="1"/>
  <c r="S105" i="4" s="1"/>
  <c r="C211" i="2"/>
  <c r="G169" i="4"/>
  <c r="G174" i="4" s="1"/>
  <c r="D128" i="4"/>
  <c r="G107" i="4"/>
  <c r="E208" i="2"/>
  <c r="E223" i="2"/>
  <c r="E246" i="2"/>
  <c r="E272" i="2"/>
  <c r="E263" i="2" s="1"/>
  <c r="E111" i="4"/>
  <c r="B132" i="4"/>
  <c r="B211" i="2"/>
  <c r="K174" i="4"/>
  <c r="G173" i="4"/>
  <c r="O174" i="4"/>
  <c r="J165" i="4"/>
  <c r="L59" i="4"/>
  <c r="Q59" i="4" s="1"/>
  <c r="S59" i="4" s="1"/>
  <c r="L51" i="4"/>
  <c r="L47" i="4"/>
  <c r="Q47" i="4" s="1"/>
  <c r="S47" i="4" s="1"/>
  <c r="E191" i="2"/>
  <c r="C174" i="4"/>
  <c r="E209" i="2"/>
  <c r="D196" i="2"/>
  <c r="L43" i="4"/>
  <c r="Q43" i="4" s="1"/>
  <c r="S43" i="4" s="1"/>
  <c r="G259" i="4"/>
  <c r="E229" i="2"/>
  <c r="E271" i="2"/>
  <c r="E117" i="2" s="1"/>
  <c r="E187" i="2"/>
  <c r="E228" i="2"/>
  <c r="E249" i="2"/>
  <c r="E274" i="2"/>
  <c r="E120" i="2" s="1"/>
  <c r="B196" i="2"/>
  <c r="E227" i="2"/>
  <c r="E239" i="2" s="1"/>
  <c r="E252" i="2"/>
  <c r="E270" i="2"/>
  <c r="E273" i="2"/>
  <c r="E119" i="2" s="1"/>
  <c r="E190" i="2"/>
  <c r="J131" i="4"/>
  <c r="G260" i="4"/>
  <c r="L260" i="4" s="1"/>
  <c r="Q260" i="4" s="1"/>
  <c r="E247" i="2"/>
  <c r="E250" i="2"/>
  <c r="C196" i="2"/>
  <c r="E192" i="2"/>
  <c r="E196" i="2" s="1"/>
  <c r="L178" i="4"/>
  <c r="Q178" i="4" s="1"/>
  <c r="S178" i="4" s="1"/>
  <c r="E206" i="2"/>
  <c r="E219" i="2"/>
  <c r="E222" i="2"/>
  <c r="E224" i="2"/>
  <c r="E238" i="2" s="1"/>
  <c r="E225" i="2"/>
  <c r="E253" i="2"/>
  <c r="E174" i="4"/>
  <c r="E50" i="2"/>
  <c r="L75" i="4"/>
  <c r="E205" i="2"/>
  <c r="E207" i="2"/>
  <c r="E215" i="2" s="1"/>
  <c r="E226" i="2"/>
  <c r="E245" i="2"/>
  <c r="E257" i="2" s="1"/>
  <c r="E243" i="2"/>
  <c r="E244" i="2"/>
  <c r="E251" i="2"/>
  <c r="E259" i="2" s="1"/>
  <c r="L297" i="4"/>
  <c r="Q297" i="4" s="1"/>
  <c r="S297" i="4" s="1"/>
  <c r="G254" i="4"/>
  <c r="P169" i="4"/>
  <c r="L166" i="4"/>
  <c r="Q166" i="4" s="1"/>
  <c r="S166" i="4" s="1"/>
  <c r="N174" i="4"/>
  <c r="H174" i="4"/>
  <c r="B174" i="4"/>
  <c r="L152" i="4"/>
  <c r="Q152" i="4" s="1"/>
  <c r="S152" i="4" s="1"/>
  <c r="L148" i="4"/>
  <c r="L147" i="4"/>
  <c r="Q147" i="4" s="1"/>
  <c r="S147" i="4" s="1"/>
  <c r="L146" i="4"/>
  <c r="Q146" i="4" s="1"/>
  <c r="S146" i="4" s="1"/>
  <c r="M132" i="4"/>
  <c r="F132" i="4"/>
  <c r="L123" i="4"/>
  <c r="Q123" i="4" s="1"/>
  <c r="S123" i="4" s="1"/>
  <c r="P109" i="4"/>
  <c r="L39" i="4"/>
  <c r="Q39" i="4" s="1"/>
  <c r="S39" i="4" s="1"/>
  <c r="L32" i="4"/>
  <c r="Q32" i="4" s="1"/>
  <c r="S32" i="4" s="1"/>
  <c r="G255" i="4"/>
  <c r="L255" i="4" s="1"/>
  <c r="Q255" i="4" s="1"/>
  <c r="M304" i="4"/>
  <c r="S261" i="4"/>
  <c r="L253" i="4"/>
  <c r="Q253" i="4" s="1"/>
  <c r="L251" i="4"/>
  <c r="Q251" i="4" s="1"/>
  <c r="L210" i="4"/>
  <c r="Q210" i="4" s="1"/>
  <c r="S210" i="4" s="1"/>
  <c r="L207" i="4"/>
  <c r="Q207" i="4" s="1"/>
  <c r="S207" i="4" s="1"/>
  <c r="L206" i="4"/>
  <c r="Q206" i="4" s="1"/>
  <c r="S206" i="4" s="1"/>
  <c r="L198" i="4"/>
  <c r="Q198" i="4" s="1"/>
  <c r="S198" i="4" s="1"/>
  <c r="P107" i="4"/>
  <c r="L71" i="4"/>
  <c r="Q71" i="4" s="1"/>
  <c r="S71" i="4" s="1"/>
  <c r="L64" i="4"/>
  <c r="Q64" i="4" s="1"/>
  <c r="S64" i="4" s="1"/>
  <c r="L27" i="4"/>
  <c r="Q27" i="4" s="1"/>
  <c r="S27" i="4" s="1"/>
  <c r="L269" i="4"/>
  <c r="Q269" i="4" s="1"/>
  <c r="S269" i="4" s="1"/>
  <c r="H305" i="4"/>
  <c r="M306" i="4"/>
  <c r="P244" i="4"/>
  <c r="L234" i="4"/>
  <c r="L91" i="4"/>
  <c r="Q91" i="4" s="1"/>
  <c r="S91" i="4" s="1"/>
  <c r="L46" i="4"/>
  <c r="L45" i="4"/>
  <c r="Q45" i="4" s="1"/>
  <c r="S45" i="4" s="1"/>
  <c r="L44" i="4"/>
  <c r="Q44" i="4" s="1"/>
  <c r="S44" i="4" s="1"/>
  <c r="L275" i="4"/>
  <c r="L296" i="4"/>
  <c r="L300" i="4"/>
  <c r="Q300" i="4" s="1"/>
  <c r="S300" i="4" s="1"/>
  <c r="Q234" i="4"/>
  <c r="L256" i="4"/>
  <c r="Q256" i="4" s="1"/>
  <c r="L239" i="4"/>
  <c r="Q239" i="4" s="1"/>
  <c r="L235" i="4"/>
  <c r="Q235" i="4" s="1"/>
  <c r="J258" i="4"/>
  <c r="D236" i="4"/>
  <c r="J240" i="4"/>
  <c r="L319" i="4"/>
  <c r="L249" i="4"/>
  <c r="Q249" i="4" s="1"/>
  <c r="L231" i="4"/>
  <c r="Q231" i="4" s="1"/>
  <c r="D232" i="4"/>
  <c r="L241" i="4"/>
  <c r="Q241" i="4" s="1"/>
  <c r="G232" i="4"/>
  <c r="L222" i="4"/>
  <c r="Q222" i="4" s="1"/>
  <c r="L219" i="4"/>
  <c r="L218" i="4"/>
  <c r="Q218" i="4" s="1"/>
  <c r="S218" i="4" s="1"/>
  <c r="L215" i="4"/>
  <c r="Q215" i="4" s="1"/>
  <c r="S215" i="4" s="1"/>
  <c r="L214" i="4"/>
  <c r="Q214" i="4" s="1"/>
  <c r="S214" i="4" s="1"/>
  <c r="L202" i="4"/>
  <c r="Q202" i="4" s="1"/>
  <c r="S202" i="4" s="1"/>
  <c r="L201" i="4"/>
  <c r="Q201" i="4" s="1"/>
  <c r="S201" i="4" s="1"/>
  <c r="L160" i="4"/>
  <c r="Q160" i="4" s="1"/>
  <c r="S160" i="4" s="1"/>
  <c r="L159" i="4"/>
  <c r="Q159" i="4" s="1"/>
  <c r="S159" i="4" s="1"/>
  <c r="L158" i="4"/>
  <c r="Q158" i="4" s="1"/>
  <c r="S158" i="4" s="1"/>
  <c r="G135" i="4"/>
  <c r="G131" i="4"/>
  <c r="G129" i="4"/>
  <c r="P128" i="4"/>
  <c r="L80" i="4"/>
  <c r="Q80" i="4" s="1"/>
  <c r="S80" i="4" s="1"/>
  <c r="L67" i="4"/>
  <c r="Q67" i="4" s="1"/>
  <c r="S67" i="4" s="1"/>
  <c r="L63" i="4"/>
  <c r="L62" i="4"/>
  <c r="Q62" i="4" s="1"/>
  <c r="S62" i="4" s="1"/>
  <c r="L61" i="4"/>
  <c r="Q61" i="4" s="1"/>
  <c r="S61" i="4" s="1"/>
  <c r="D262" i="4"/>
  <c r="P303" i="4"/>
  <c r="L291" i="4"/>
  <c r="Q291" i="4" s="1"/>
  <c r="S291" i="4" s="1"/>
  <c r="H303" i="4"/>
  <c r="L294" i="4"/>
  <c r="Q294" i="4" s="1"/>
  <c r="S294" i="4" s="1"/>
  <c r="P298" i="4"/>
  <c r="P263" i="4"/>
  <c r="L263" i="4"/>
  <c r="S339" i="4"/>
  <c r="S322" i="4" s="1"/>
  <c r="Q322" i="4"/>
  <c r="P240" i="4"/>
  <c r="L212" i="4"/>
  <c r="Q212" i="4" s="1"/>
  <c r="S212" i="4" s="1"/>
  <c r="L192" i="4"/>
  <c r="L191" i="4"/>
  <c r="Q191" i="4" s="1"/>
  <c r="S191" i="4" s="1"/>
  <c r="L189" i="4"/>
  <c r="Q189" i="4" s="1"/>
  <c r="S189" i="4" s="1"/>
  <c r="L188" i="4"/>
  <c r="Q188" i="4" s="1"/>
  <c r="S188" i="4" s="1"/>
  <c r="L187" i="4"/>
  <c r="Q187" i="4" s="1"/>
  <c r="S187" i="4" s="1"/>
  <c r="D173" i="4"/>
  <c r="D169" i="4"/>
  <c r="L149" i="4"/>
  <c r="Q149" i="4" s="1"/>
  <c r="S149" i="4" s="1"/>
  <c r="D135" i="4"/>
  <c r="G130" i="4"/>
  <c r="L119" i="4"/>
  <c r="Q119" i="4" s="1"/>
  <c r="S119" i="4" s="1"/>
  <c r="L115" i="4"/>
  <c r="Q115" i="4" s="1"/>
  <c r="S115" i="4" s="1"/>
  <c r="L110" i="4"/>
  <c r="Q110" i="4" s="1"/>
  <c r="S110" i="4" s="1"/>
  <c r="L87" i="4"/>
  <c r="L83" i="4"/>
  <c r="Q83" i="4" s="1"/>
  <c r="S83" i="4" s="1"/>
  <c r="L79" i="4"/>
  <c r="Q79" i="4" s="1"/>
  <c r="S79" i="4" s="1"/>
  <c r="L78" i="4"/>
  <c r="Q78" i="4" s="1"/>
  <c r="S78" i="4" s="1"/>
  <c r="L77" i="4"/>
  <c r="Q77" i="4" s="1"/>
  <c r="S77" i="4" s="1"/>
  <c r="L23" i="4"/>
  <c r="Q23" i="4" s="1"/>
  <c r="S23" i="4" s="1"/>
  <c r="J262" i="4"/>
  <c r="L317" i="4"/>
  <c r="Q316" i="4"/>
  <c r="L316" i="4"/>
  <c r="S342" i="4"/>
  <c r="S323" i="4" s="1"/>
  <c r="Q323" i="4"/>
  <c r="S324" i="4"/>
  <c r="S262" i="4"/>
  <c r="P254" i="4"/>
  <c r="P125" i="4"/>
  <c r="G125" i="4"/>
  <c r="L124" i="4"/>
  <c r="Q124" i="4" s="1"/>
  <c r="S124" i="4" s="1"/>
  <c r="D109" i="4"/>
  <c r="D107" i="4"/>
  <c r="L99" i="4"/>
  <c r="L95" i="4"/>
  <c r="Q95" i="4" s="1"/>
  <c r="S95" i="4" s="1"/>
  <c r="L94" i="4"/>
  <c r="L93" i="4"/>
  <c r="Q93" i="4" s="1"/>
  <c r="S93" i="4" s="1"/>
  <c r="L92" i="4"/>
  <c r="Q92" i="4" s="1"/>
  <c r="S92" i="4" s="1"/>
  <c r="L55" i="4"/>
  <c r="Q55" i="4" s="1"/>
  <c r="S55" i="4" s="1"/>
  <c r="L35" i="4"/>
  <c r="L31" i="4"/>
  <c r="Q31" i="4" s="1"/>
  <c r="S31" i="4" s="1"/>
  <c r="L30" i="4"/>
  <c r="Q30" i="4" s="1"/>
  <c r="S30" i="4" s="1"/>
  <c r="L29" i="4"/>
  <c r="Q29" i="4" s="1"/>
  <c r="S29" i="4" s="1"/>
  <c r="P258" i="4"/>
  <c r="E282" i="4"/>
  <c r="M303" i="4"/>
  <c r="E303" i="4"/>
  <c r="G263" i="4"/>
  <c r="H132" i="4"/>
  <c r="L248" i="4"/>
  <c r="Q248" i="4" s="1"/>
  <c r="L230" i="4"/>
  <c r="Q230" i="4" s="1"/>
  <c r="L204" i="4"/>
  <c r="Q204" i="4" s="1"/>
  <c r="S204" i="4" s="1"/>
  <c r="L183" i="4"/>
  <c r="Q183" i="4" s="1"/>
  <c r="S183" i="4" s="1"/>
  <c r="L182" i="4"/>
  <c r="Q182" i="4" s="1"/>
  <c r="S182" i="4" s="1"/>
  <c r="L179" i="4"/>
  <c r="Q179" i="4" s="1"/>
  <c r="S179" i="4" s="1"/>
  <c r="L172" i="4"/>
  <c r="L171" i="4"/>
  <c r="Q171" i="4" s="1"/>
  <c r="S171" i="4" s="1"/>
  <c r="L170" i="4"/>
  <c r="Q170" i="4" s="1"/>
  <c r="S170" i="4" s="1"/>
  <c r="L163" i="4"/>
  <c r="Q163" i="4" s="1"/>
  <c r="S163" i="4" s="1"/>
  <c r="J161" i="4"/>
  <c r="L134" i="4"/>
  <c r="Q134" i="4" s="1"/>
  <c r="S134" i="4" s="1"/>
  <c r="D131" i="4"/>
  <c r="P130" i="4"/>
  <c r="L267" i="4"/>
  <c r="Q267" i="4" s="1"/>
  <c r="S267" i="4" s="1"/>
  <c r="L274" i="4"/>
  <c r="Q274" i="4" s="1"/>
  <c r="S274" i="4" s="1"/>
  <c r="L252" i="4"/>
  <c r="Q252" i="4" s="1"/>
  <c r="L247" i="4"/>
  <c r="D244" i="4"/>
  <c r="L238" i="4"/>
  <c r="Q238" i="4" s="1"/>
  <c r="G236" i="4"/>
  <c r="L229" i="4"/>
  <c r="Q229" i="4" s="1"/>
  <c r="L220" i="4"/>
  <c r="Q220" i="4" s="1"/>
  <c r="S220" i="4" s="1"/>
  <c r="L217" i="4"/>
  <c r="Q217" i="4" s="1"/>
  <c r="S217" i="4" s="1"/>
  <c r="L199" i="4"/>
  <c r="Q199" i="4" s="1"/>
  <c r="S199" i="4" s="1"/>
  <c r="L196" i="4"/>
  <c r="Q196" i="4" s="1"/>
  <c r="S196" i="4" s="1"/>
  <c r="L190" i="4"/>
  <c r="Q190" i="4" s="1"/>
  <c r="S190" i="4" s="1"/>
  <c r="J169" i="4"/>
  <c r="P165" i="4"/>
  <c r="G161" i="4"/>
  <c r="L155" i="4"/>
  <c r="Q155" i="4" s="1"/>
  <c r="S155" i="4" s="1"/>
  <c r="L154" i="4"/>
  <c r="Q154" i="4" s="1"/>
  <c r="S154" i="4" s="1"/>
  <c r="Q148" i="4"/>
  <c r="S148" i="4" s="1"/>
  <c r="L141" i="4"/>
  <c r="L139" i="4"/>
  <c r="Q139" i="4" s="1"/>
  <c r="S139" i="4" s="1"/>
  <c r="L138" i="4"/>
  <c r="Q138" i="4" s="1"/>
  <c r="S138" i="4" s="1"/>
  <c r="P129" i="4"/>
  <c r="D129" i="4"/>
  <c r="G128" i="4"/>
  <c r="L127" i="4"/>
  <c r="Q127" i="4" s="1"/>
  <c r="S127" i="4" s="1"/>
  <c r="L126" i="4"/>
  <c r="Q126" i="4" s="1"/>
  <c r="S126" i="4" s="1"/>
  <c r="L120" i="4"/>
  <c r="L118" i="4"/>
  <c r="Q118" i="4" s="1"/>
  <c r="S118" i="4" s="1"/>
  <c r="L117" i="4"/>
  <c r="Q117" i="4" s="1"/>
  <c r="S117" i="4" s="1"/>
  <c r="L116" i="4"/>
  <c r="Q116" i="4" s="1"/>
  <c r="S116" i="4" s="1"/>
  <c r="G109" i="4"/>
  <c r="P108" i="4"/>
  <c r="D108" i="4"/>
  <c r="L101" i="4"/>
  <c r="Q101" i="4" s="1"/>
  <c r="S101" i="4" s="1"/>
  <c r="L100" i="4"/>
  <c r="L86" i="4"/>
  <c r="L85" i="4"/>
  <c r="Q85" i="4" s="1"/>
  <c r="S85" i="4" s="1"/>
  <c r="L84" i="4"/>
  <c r="Q84" i="4" s="1"/>
  <c r="S84" i="4" s="1"/>
  <c r="L72" i="4"/>
  <c r="L70" i="4"/>
  <c r="Q70" i="4" s="1"/>
  <c r="S70" i="4" s="1"/>
  <c r="L69" i="4"/>
  <c r="Q69" i="4" s="1"/>
  <c r="S69" i="4" s="1"/>
  <c r="Q63" i="4"/>
  <c r="S63" i="4" s="1"/>
  <c r="L56" i="4"/>
  <c r="L54" i="4"/>
  <c r="Q54" i="4" s="1"/>
  <c r="S54" i="4" s="1"/>
  <c r="L53" i="4"/>
  <c r="Q53" i="4" s="1"/>
  <c r="S53" i="4" s="1"/>
  <c r="L52" i="4"/>
  <c r="Q52" i="4" s="1"/>
  <c r="S52" i="4" s="1"/>
  <c r="L38" i="4"/>
  <c r="Q38" i="4" s="1"/>
  <c r="S38" i="4" s="1"/>
  <c r="L37" i="4"/>
  <c r="Q37" i="4" s="1"/>
  <c r="S37" i="4" s="1"/>
  <c r="L36" i="4"/>
  <c r="Q36" i="4" s="1"/>
  <c r="S36" i="4" s="1"/>
  <c r="L22" i="4"/>
  <c r="Q22" i="4" s="1"/>
  <c r="S22" i="4" s="1"/>
  <c r="L21" i="4"/>
  <c r="Q21" i="4" s="1"/>
  <c r="S21" i="4" s="1"/>
  <c r="D258" i="4"/>
  <c r="G257" i="4"/>
  <c r="L257" i="4" s="1"/>
  <c r="Q257" i="4" s="1"/>
  <c r="G261" i="4"/>
  <c r="L261" i="4" s="1"/>
  <c r="Q261" i="4" s="1"/>
  <c r="F262" i="4"/>
  <c r="L271" i="4"/>
  <c r="Q271" i="4" s="1"/>
  <c r="S271" i="4" s="1"/>
  <c r="G277" i="4"/>
  <c r="L268" i="4"/>
  <c r="Q268" i="4" s="1"/>
  <c r="S268" i="4" s="1"/>
  <c r="L273" i="4"/>
  <c r="Q273" i="4" s="1"/>
  <c r="S273" i="4" s="1"/>
  <c r="H282" i="4"/>
  <c r="L276" i="4"/>
  <c r="Q276" i="4" s="1"/>
  <c r="S276" i="4" s="1"/>
  <c r="M282" i="4"/>
  <c r="L298" i="4"/>
  <c r="Q298" i="4" s="1"/>
  <c r="S298" i="4" s="1"/>
  <c r="S260" i="4"/>
  <c r="P250" i="4"/>
  <c r="L243" i="4"/>
  <c r="Q243" i="4" s="1"/>
  <c r="G240" i="4"/>
  <c r="J236" i="4"/>
  <c r="P232" i="4"/>
  <c r="L221" i="4"/>
  <c r="Q221" i="4" s="1"/>
  <c r="S221" i="4" s="1"/>
  <c r="L211" i="4"/>
  <c r="Q211" i="4" s="1"/>
  <c r="S211" i="4" s="1"/>
  <c r="L203" i="4"/>
  <c r="Q203" i="4" s="1"/>
  <c r="S203" i="4" s="1"/>
  <c r="L200" i="4"/>
  <c r="Q200" i="4" s="1"/>
  <c r="S200" i="4" s="1"/>
  <c r="L197" i="4"/>
  <c r="Q197" i="4" s="1"/>
  <c r="S197" i="4" s="1"/>
  <c r="L185" i="4"/>
  <c r="Q185" i="4" s="1"/>
  <c r="S185" i="4" s="1"/>
  <c r="L184" i="4"/>
  <c r="Q184" i="4" s="1"/>
  <c r="S184" i="4" s="1"/>
  <c r="L181" i="4"/>
  <c r="Q181" i="4" s="1"/>
  <c r="S181" i="4" s="1"/>
  <c r="L177" i="4"/>
  <c r="L176" i="4"/>
  <c r="Q176" i="4" s="1"/>
  <c r="S176" i="4" s="1"/>
  <c r="P173" i="4"/>
  <c r="J173" i="4"/>
  <c r="L173" i="4" s="1"/>
  <c r="L168" i="4"/>
  <c r="Q168" i="4" s="1"/>
  <c r="S168" i="4" s="1"/>
  <c r="L167" i="4"/>
  <c r="Q167" i="4" s="1"/>
  <c r="S167" i="4" s="1"/>
  <c r="D161" i="4"/>
  <c r="L161" i="4" s="1"/>
  <c r="L145" i="4"/>
  <c r="L143" i="4"/>
  <c r="Q143" i="4" s="1"/>
  <c r="S143" i="4" s="1"/>
  <c r="L142" i="4"/>
  <c r="Q142" i="4" s="1"/>
  <c r="S142" i="4" s="1"/>
  <c r="Q136" i="4"/>
  <c r="S136" i="4" s="1"/>
  <c r="L125" i="4"/>
  <c r="Q125" i="4" s="1"/>
  <c r="S125" i="4" s="1"/>
  <c r="L122" i="4"/>
  <c r="Q122" i="4" s="1"/>
  <c r="S122" i="4" s="1"/>
  <c r="L121" i="4"/>
  <c r="Q121" i="4" s="1"/>
  <c r="S121" i="4" s="1"/>
  <c r="L106" i="4"/>
  <c r="Q106" i="4" s="1"/>
  <c r="S106" i="4" s="1"/>
  <c r="L104" i="4"/>
  <c r="Q104" i="4" s="1"/>
  <c r="S104" i="4" s="1"/>
  <c r="L103" i="4"/>
  <c r="Q103" i="4" s="1"/>
  <c r="S103" i="4" s="1"/>
  <c r="L102" i="4"/>
  <c r="Q102" i="4" s="1"/>
  <c r="S102" i="4" s="1"/>
  <c r="Q100" i="4"/>
  <c r="S100" i="4" s="1"/>
  <c r="Q99" i="4"/>
  <c r="S99" i="4" s="1"/>
  <c r="L90" i="4"/>
  <c r="Q90" i="4" s="1"/>
  <c r="S90" i="4" s="1"/>
  <c r="L89" i="4"/>
  <c r="Q89" i="4" s="1"/>
  <c r="S89" i="4" s="1"/>
  <c r="L88" i="4"/>
  <c r="Q88" i="4" s="1"/>
  <c r="S88" i="4" s="1"/>
  <c r="Q86" i="4"/>
  <c r="S86" i="4" s="1"/>
  <c r="L76" i="4"/>
  <c r="Q76" i="4" s="1"/>
  <c r="S76" i="4" s="1"/>
  <c r="L74" i="4"/>
  <c r="Q74" i="4" s="1"/>
  <c r="S74" i="4" s="1"/>
  <c r="L73" i="4"/>
  <c r="Q73" i="4" s="1"/>
  <c r="S73" i="4" s="1"/>
  <c r="L60" i="4"/>
  <c r="Q60" i="4" s="1"/>
  <c r="S60" i="4" s="1"/>
  <c r="L58" i="4"/>
  <c r="Q58" i="4" s="1"/>
  <c r="S58" i="4" s="1"/>
  <c r="L57" i="4"/>
  <c r="Q57" i="4" s="1"/>
  <c r="S57" i="4" s="1"/>
  <c r="Q51" i="4"/>
  <c r="S51" i="4" s="1"/>
  <c r="L42" i="4"/>
  <c r="Q42" i="4" s="1"/>
  <c r="S42" i="4" s="1"/>
  <c r="L41" i="4"/>
  <c r="Q41" i="4" s="1"/>
  <c r="S41" i="4" s="1"/>
  <c r="L40" i="4"/>
  <c r="Q40" i="4" s="1"/>
  <c r="S40" i="4" s="1"/>
  <c r="Q35" i="4"/>
  <c r="S35" i="4" s="1"/>
  <c r="L28" i="4"/>
  <c r="Q28" i="4" s="1"/>
  <c r="S28" i="4" s="1"/>
  <c r="L26" i="4"/>
  <c r="Q26" i="4" s="1"/>
  <c r="S26" i="4" s="1"/>
  <c r="L25" i="4"/>
  <c r="Q25" i="4" s="1"/>
  <c r="S25" i="4" s="1"/>
  <c r="L24" i="4"/>
  <c r="Q24" i="4" s="1"/>
  <c r="S24" i="4" s="1"/>
  <c r="L277" i="4"/>
  <c r="Q277" i="4" s="1"/>
  <c r="S277" i="4" s="1"/>
  <c r="H280" i="4"/>
  <c r="H283" i="4"/>
  <c r="M283" i="4"/>
  <c r="L290" i="4"/>
  <c r="Q290" i="4" s="1"/>
  <c r="S290" i="4" s="1"/>
  <c r="G292" i="4"/>
  <c r="L292" i="4" s="1"/>
  <c r="L299" i="4"/>
  <c r="Q299" i="4" s="1"/>
  <c r="S299" i="4" s="1"/>
  <c r="S259" i="4"/>
  <c r="Q177" i="4"/>
  <c r="S177" i="4" s="1"/>
  <c r="Q141" i="4"/>
  <c r="S141" i="4" s="1"/>
  <c r="Q140" i="4"/>
  <c r="S140" i="4" s="1"/>
  <c r="L129" i="4"/>
  <c r="Q120" i="4"/>
  <c r="S120" i="4" s="1"/>
  <c r="Q87" i="4"/>
  <c r="S87" i="4" s="1"/>
  <c r="Q72" i="4"/>
  <c r="S72" i="4" s="1"/>
  <c r="Q56" i="4"/>
  <c r="S56" i="4" s="1"/>
  <c r="L266" i="4"/>
  <c r="Q266" i="4" s="1"/>
  <c r="S266" i="4" s="1"/>
  <c r="S280" i="4" s="1"/>
  <c r="G244" i="4"/>
  <c r="J244" i="4"/>
  <c r="P236" i="4"/>
  <c r="Q219" i="4"/>
  <c r="S219" i="4" s="1"/>
  <c r="L216" i="4"/>
  <c r="Q216" i="4" s="1"/>
  <c r="S216" i="4" s="1"/>
  <c r="L213" i="4"/>
  <c r="Q213" i="4" s="1"/>
  <c r="S213" i="4" s="1"/>
  <c r="L205" i="4"/>
  <c r="Q205" i="4" s="1"/>
  <c r="S205" i="4" s="1"/>
  <c r="Q192" i="4"/>
  <c r="S192" i="4" s="1"/>
  <c r="L186" i="4"/>
  <c r="Q186" i="4" s="1"/>
  <c r="S186" i="4" s="1"/>
  <c r="D165" i="4"/>
  <c r="L165" i="4" s="1"/>
  <c r="L164" i="4"/>
  <c r="Q164" i="4" s="1"/>
  <c r="S164" i="4" s="1"/>
  <c r="L162" i="4"/>
  <c r="Q162" i="4" s="1"/>
  <c r="S162" i="4" s="1"/>
  <c r="P161" i="4"/>
  <c r="L153" i="4"/>
  <c r="Q153" i="4" s="1"/>
  <c r="S153" i="4" s="1"/>
  <c r="L151" i="4"/>
  <c r="Q151" i="4" s="1"/>
  <c r="S151" i="4" s="1"/>
  <c r="L150" i="4"/>
  <c r="Q150" i="4" s="1"/>
  <c r="S150" i="4" s="1"/>
  <c r="Q144" i="4"/>
  <c r="S144" i="4" s="1"/>
  <c r="L137" i="4"/>
  <c r="Q137" i="4" s="1"/>
  <c r="S137" i="4" s="1"/>
  <c r="P135" i="4"/>
  <c r="P131" i="4"/>
  <c r="J130" i="4"/>
  <c r="L114" i="4"/>
  <c r="Q114" i="4" s="1"/>
  <c r="S114" i="4" s="1"/>
  <c r="L113" i="4"/>
  <c r="Q113" i="4" s="1"/>
  <c r="S113" i="4" s="1"/>
  <c r="L112" i="4"/>
  <c r="Q112" i="4" s="1"/>
  <c r="S112" i="4" s="1"/>
  <c r="G108" i="4"/>
  <c r="L108" i="4" s="1"/>
  <c r="Q108" i="4" s="1"/>
  <c r="S108" i="4" s="1"/>
  <c r="L98" i="4"/>
  <c r="Q98" i="4" s="1"/>
  <c r="S98" i="4" s="1"/>
  <c r="L97" i="4"/>
  <c r="Q97" i="4" s="1"/>
  <c r="S97" i="4" s="1"/>
  <c r="L96" i="4"/>
  <c r="Q96" i="4" s="1"/>
  <c r="S96" i="4" s="1"/>
  <c r="L82" i="4"/>
  <c r="Q82" i="4" s="1"/>
  <c r="S82" i="4" s="1"/>
  <c r="L81" i="4"/>
  <c r="Q81" i="4" s="1"/>
  <c r="S81" i="4" s="1"/>
  <c r="Q75" i="4"/>
  <c r="S75" i="4" s="1"/>
  <c r="L68" i="4"/>
  <c r="Q68" i="4" s="1"/>
  <c r="S68" i="4" s="1"/>
  <c r="L66" i="4"/>
  <c r="Q66" i="4" s="1"/>
  <c r="S66" i="4" s="1"/>
  <c r="L65" i="4"/>
  <c r="Q65" i="4" s="1"/>
  <c r="S65" i="4" s="1"/>
  <c r="L50" i="4"/>
  <c r="Q50" i="4" s="1"/>
  <c r="S50" i="4" s="1"/>
  <c r="L49" i="4"/>
  <c r="Q49" i="4" s="1"/>
  <c r="S49" i="4" s="1"/>
  <c r="L48" i="4"/>
  <c r="Q48" i="4" s="1"/>
  <c r="S48" i="4" s="1"/>
  <c r="L34" i="4"/>
  <c r="Q34" i="4" s="1"/>
  <c r="S34" i="4" s="1"/>
  <c r="L33" i="4"/>
  <c r="Q33" i="4" s="1"/>
  <c r="S33" i="4" s="1"/>
  <c r="P262" i="4"/>
  <c r="L270" i="4"/>
  <c r="Q270" i="4" s="1"/>
  <c r="S270" i="4" s="1"/>
  <c r="E281" i="4"/>
  <c r="J289" i="4"/>
  <c r="D312" i="4"/>
  <c r="E189" i="2"/>
  <c r="E195" i="2" s="1"/>
  <c r="D211" i="2"/>
  <c r="E211" i="2" s="1"/>
  <c r="D215" i="2"/>
  <c r="E230" i="2"/>
  <c r="B111" i="2"/>
  <c r="C111" i="2"/>
  <c r="D111" i="2"/>
  <c r="C112" i="2"/>
  <c r="E254" i="2"/>
  <c r="E221" i="2"/>
  <c r="E237" i="2" s="1"/>
  <c r="E248" i="2"/>
  <c r="E258" i="2" s="1"/>
  <c r="B112" i="2"/>
  <c r="D112" i="2"/>
  <c r="E275" i="2"/>
  <c r="E121" i="2" s="1"/>
  <c r="E51" i="3"/>
  <c r="E52" i="3"/>
  <c r="E116" i="2"/>
  <c r="D132" i="4"/>
  <c r="Q172" i="4"/>
  <c r="S172" i="4" s="1"/>
  <c r="Q145" i="4"/>
  <c r="S145" i="4" s="1"/>
  <c r="Q94" i="4"/>
  <c r="S94" i="4" s="1"/>
  <c r="Q46" i="4"/>
  <c r="S46" i="4" s="1"/>
  <c r="L293" i="4"/>
  <c r="Q293" i="4" s="1"/>
  <c r="S293" i="4" s="1"/>
  <c r="Q247" i="4"/>
  <c r="L259" i="4"/>
  <c r="G262" i="4"/>
  <c r="L109" i="4"/>
  <c r="Q109" i="4" s="1"/>
  <c r="S109" i="4" s="1"/>
  <c r="Q296" i="4"/>
  <c r="S296" i="4" s="1"/>
  <c r="J111" i="4"/>
  <c r="D111" i="4"/>
  <c r="L242" i="4"/>
  <c r="Q242" i="4" s="1"/>
  <c r="L237" i="4"/>
  <c r="L233" i="4"/>
  <c r="J232" i="4"/>
  <c r="E262" i="4"/>
  <c r="M262" i="4"/>
  <c r="P281" i="4"/>
  <c r="D281" i="4"/>
  <c r="J272" i="4"/>
  <c r="J282" i="4" s="1"/>
  <c r="G272" i="4"/>
  <c r="G282" i="4" s="1"/>
  <c r="E280" i="4"/>
  <c r="M280" i="4"/>
  <c r="G289" i="4"/>
  <c r="H304" i="4"/>
  <c r="M305" i="4"/>
  <c r="D311" i="4"/>
  <c r="D313" i="4"/>
  <c r="J254" i="4"/>
  <c r="D254" i="4"/>
  <c r="J250" i="4"/>
  <c r="D250" i="4"/>
  <c r="G281" i="4"/>
  <c r="P275" i="4"/>
  <c r="Q275" i="4" s="1"/>
  <c r="S275" i="4" s="1"/>
  <c r="S283" i="4" s="1"/>
  <c r="H281" i="4"/>
  <c r="M281" i="4"/>
  <c r="D303" i="4"/>
  <c r="P292" i="4"/>
  <c r="P304" i="4" s="1"/>
  <c r="J295" i="4"/>
  <c r="L295" i="4" s="1"/>
  <c r="Q295" i="4" s="1"/>
  <c r="S295" i="4" s="1"/>
  <c r="G312" i="4"/>
  <c r="J312" i="4"/>
  <c r="P312" i="4"/>
  <c r="J281" i="4"/>
  <c r="M310" i="4"/>
  <c r="M227" i="4"/>
  <c r="M307" i="4"/>
  <c r="J303" i="4"/>
  <c r="H306" i="4"/>
  <c r="L312" i="4"/>
  <c r="D310" i="4"/>
  <c r="D227" i="4"/>
  <c r="G313" i="4"/>
  <c r="J313" i="4"/>
  <c r="P313" i="4"/>
  <c r="G310" i="4"/>
  <c r="G227" i="4"/>
  <c r="J310" i="4"/>
  <c r="J227" i="4"/>
  <c r="P310" i="4"/>
  <c r="P227" i="4"/>
  <c r="G311" i="4"/>
  <c r="J311" i="4"/>
  <c r="P311" i="4"/>
  <c r="D304" i="4"/>
  <c r="J304" i="4"/>
  <c r="Q305" i="4"/>
  <c r="P305" i="4"/>
  <c r="D305" i="4"/>
  <c r="G305" i="4"/>
  <c r="D306" i="4"/>
  <c r="G306" i="4"/>
  <c r="J306" i="4"/>
  <c r="P306" i="4"/>
  <c r="P280" i="4"/>
  <c r="G280" i="4"/>
  <c r="D280" i="4"/>
  <c r="J280" i="4"/>
  <c r="P282" i="4"/>
  <c r="D282" i="4"/>
  <c r="J283" i="4"/>
  <c r="G283" i="4"/>
  <c r="D283" i="4"/>
  <c r="P307" i="4"/>
  <c r="J307" i="4"/>
  <c r="G307" i="4"/>
  <c r="D307" i="4"/>
  <c r="E216" i="2" l="1"/>
  <c r="S257" i="4"/>
  <c r="S258" i="4"/>
  <c r="L169" i="4"/>
  <c r="Q169" i="4" s="1"/>
  <c r="S169" i="4" s="1"/>
  <c r="L107" i="4"/>
  <c r="J132" i="4"/>
  <c r="Q173" i="4"/>
  <c r="S173" i="4" s="1"/>
  <c r="L135" i="4"/>
  <c r="S305" i="4"/>
  <c r="Q129" i="4"/>
  <c r="S129" i="4" s="1"/>
  <c r="L130" i="4"/>
  <c r="Q130" i="4" s="1"/>
  <c r="S130" i="4" s="1"/>
  <c r="S281" i="4"/>
  <c r="P111" i="4"/>
  <c r="L128" i="4"/>
  <c r="L283" i="4"/>
  <c r="G304" i="4"/>
  <c r="E118" i="2"/>
  <c r="L306" i="4"/>
  <c r="S316" i="4"/>
  <c r="E109" i="2"/>
  <c r="S306" i="4"/>
  <c r="E264" i="2"/>
  <c r="P174" i="4"/>
  <c r="L313" i="4"/>
  <c r="S284" i="4"/>
  <c r="L131" i="4"/>
  <c r="Q131" i="4" s="1"/>
  <c r="S131" i="4" s="1"/>
  <c r="Q250" i="4"/>
  <c r="J174" i="4"/>
  <c r="S254" i="4"/>
  <c r="P132" i="4"/>
  <c r="L250" i="4"/>
  <c r="Q284" i="4"/>
  <c r="L305" i="4"/>
  <c r="G132" i="4"/>
  <c r="Q135" i="4"/>
  <c r="S135" i="4" s="1"/>
  <c r="G111" i="4"/>
  <c r="S253" i="4"/>
  <c r="S256" i="4"/>
  <c r="Q306" i="4"/>
  <c r="J305" i="4"/>
  <c r="S252" i="4"/>
  <c r="S255" i="4"/>
  <c r="Q165" i="4"/>
  <c r="S165" i="4" s="1"/>
  <c r="L254" i="4"/>
  <c r="Q232" i="4"/>
  <c r="L232" i="4"/>
  <c r="Q280" i="4"/>
  <c r="G258" i="4"/>
  <c r="L258" i="4"/>
  <c r="L280" i="4"/>
  <c r="Q244" i="4"/>
  <c r="Q254" i="4"/>
  <c r="Q317" i="4"/>
  <c r="Q319" i="4"/>
  <c r="L281" i="4"/>
  <c r="L304" i="4"/>
  <c r="Q258" i="4"/>
  <c r="L318" i="4"/>
  <c r="Q281" i="4"/>
  <c r="L227" i="4"/>
  <c r="Q283" i="4"/>
  <c r="L111" i="4"/>
  <c r="Q292" i="4"/>
  <c r="S292" i="4" s="1"/>
  <c r="S304" i="4" s="1"/>
  <c r="L174" i="4"/>
  <c r="D174" i="4"/>
  <c r="Q307" i="4"/>
  <c r="L310" i="4"/>
  <c r="L307" i="4"/>
  <c r="L311" i="4"/>
  <c r="E240" i="2"/>
  <c r="E111" i="2"/>
  <c r="E260" i="2"/>
  <c r="E112" i="2"/>
  <c r="Q237" i="4"/>
  <c r="Q240" i="4" s="1"/>
  <c r="L240" i="4"/>
  <c r="L272" i="4"/>
  <c r="Q128" i="4"/>
  <c r="Q233" i="4"/>
  <c r="Q236" i="4" s="1"/>
  <c r="L236" i="4"/>
  <c r="P283" i="4"/>
  <c r="L244" i="4"/>
  <c r="Q161" i="4"/>
  <c r="G303" i="4"/>
  <c r="L289" i="4"/>
  <c r="Q259" i="4"/>
  <c r="Q262" i="4" s="1"/>
  <c r="L262" i="4"/>
  <c r="Q107" i="4"/>
  <c r="Q311" i="4"/>
  <c r="Q310" i="4"/>
  <c r="Q313" i="4"/>
  <c r="Q304" i="4" l="1"/>
  <c r="Q227" i="4"/>
  <c r="L132" i="4"/>
  <c r="Q312" i="4"/>
  <c r="S312" i="4"/>
  <c r="Q318" i="4"/>
  <c r="Q263" i="4"/>
  <c r="S317" i="4"/>
  <c r="S319" i="4"/>
  <c r="S250" i="4"/>
  <c r="S251" i="4"/>
  <c r="S249" i="4"/>
  <c r="L303" i="4"/>
  <c r="Q289" i="4"/>
  <c r="Q272" i="4"/>
  <c r="L282" i="4"/>
  <c r="S161" i="4"/>
  <c r="S174" i="4" s="1"/>
  <c r="Q174" i="4"/>
  <c r="Q132" i="4"/>
  <c r="S128" i="4"/>
  <c r="S132" i="4" s="1"/>
  <c r="S107" i="4"/>
  <c r="S111" i="4" s="1"/>
  <c r="Q111" i="4"/>
  <c r="S233" i="4"/>
  <c r="S231" i="4"/>
  <c r="S232" i="4"/>
  <c r="S313" i="4"/>
  <c r="S236" i="4"/>
  <c r="S235" i="4"/>
  <c r="S234" i="4"/>
  <c r="S230" i="4"/>
  <c r="S311" i="4"/>
  <c r="S228" i="4"/>
  <c r="S229" i="4"/>
  <c r="S310" i="4"/>
  <c r="S227" i="4"/>
  <c r="S307" i="4"/>
  <c r="S318" i="4" l="1"/>
  <c r="S246" i="4"/>
  <c r="S247" i="4"/>
  <c r="S248" i="4"/>
  <c r="S263" i="4"/>
  <c r="S240" i="4"/>
  <c r="S238" i="4"/>
  <c r="S241" i="4"/>
  <c r="S239" i="4"/>
  <c r="S243" i="4"/>
  <c r="S242" i="4"/>
  <c r="S245" i="4"/>
  <c r="S244" i="4"/>
  <c r="S237" i="4"/>
  <c r="Q303" i="4"/>
  <c r="S289" i="4"/>
  <c r="S303" i="4" s="1"/>
  <c r="S272" i="4"/>
  <c r="S282" i="4" s="1"/>
  <c r="Q282" i="4"/>
</calcChain>
</file>

<file path=xl/comments1.xml><?xml version="1.0" encoding="utf-8"?>
<comments xmlns="http://schemas.openxmlformats.org/spreadsheetml/2006/main">
  <authors>
    <author>rashid koroma</author>
  </authors>
  <commentList>
    <comment ref="E6" authorId="0" shapeId="0">
      <text>
        <r>
          <rPr>
            <b/>
            <sz val="11"/>
            <color indexed="81"/>
            <rFont val="Tahoma"/>
            <family val="2"/>
          </rPr>
          <t>Domestic GST+ Exc. On Petroleum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" authorId="0" shapeId="0">
      <text>
        <r>
          <rPr>
            <b/>
            <sz val="11"/>
            <color indexed="81"/>
            <rFont val="Tahoma"/>
            <family val="2"/>
          </rPr>
          <t>domesic sales tax + other rev. incl. freight levy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H6" authorId="0" shapeId="0">
      <text>
        <r>
          <rPr>
            <b/>
            <sz val="12"/>
            <color indexed="81"/>
            <rFont val="Tahoma"/>
            <family val="2"/>
          </rPr>
          <t>Import duties + Import GST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6" authorId="0" shapeId="0">
      <text>
        <r>
          <rPr>
            <b/>
            <sz val="11"/>
            <color indexed="81"/>
            <rFont val="Tahoma"/>
            <family val="2"/>
          </rPr>
          <t xml:space="preserve">Other taxes+ Other Excise
</t>
        </r>
      </text>
    </comment>
    <comment ref="M6" authorId="0" shapeId="0">
      <text>
        <r>
          <rPr>
            <b/>
            <sz val="10"/>
            <color indexed="81"/>
            <rFont val="Tahoma"/>
            <family val="2"/>
          </rPr>
          <t>Mines department + other department- parastatals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N6" authorId="0" shapeId="0">
      <text>
        <r>
          <rPr>
            <b/>
            <sz val="12"/>
            <color indexed="81"/>
            <rFont val="Tahoma"/>
            <family val="2"/>
          </rPr>
          <t>Parastatals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6" authorId="0" shapeId="0">
      <text>
        <r>
          <rPr>
            <b/>
            <sz val="12"/>
            <color indexed="81"/>
            <rFont val="Tahoma"/>
            <family val="2"/>
          </rPr>
          <t>Total Exp. &amp; net lending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O7" authorId="0" shapeId="0">
      <text>
        <r>
          <rPr>
            <sz val="12"/>
            <color indexed="81"/>
            <rFont val="Tahoma"/>
            <family val="2"/>
          </rPr>
          <t>Road user charges &amp; Vehicle licences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<sst xmlns="http://schemas.openxmlformats.org/spreadsheetml/2006/main" count="1410" uniqueCount="204">
  <si>
    <t>June</t>
  </si>
  <si>
    <t>July</t>
  </si>
  <si>
    <t>August</t>
  </si>
  <si>
    <t>March</t>
  </si>
  <si>
    <t>Taxes on Income &amp; Profits</t>
  </si>
  <si>
    <t>Goods &amp; Services</t>
  </si>
  <si>
    <t>Trade &amp; Transactions</t>
  </si>
  <si>
    <t>Total</t>
  </si>
  <si>
    <t>Overall</t>
  </si>
  <si>
    <t>Company</t>
  </si>
  <si>
    <t>Personal</t>
  </si>
  <si>
    <t xml:space="preserve">Excise </t>
  </si>
  <si>
    <t>Others</t>
  </si>
  <si>
    <t xml:space="preserve">Import </t>
  </si>
  <si>
    <t>Export</t>
  </si>
  <si>
    <t>Other</t>
  </si>
  <si>
    <t>Tax</t>
  </si>
  <si>
    <t>Dep. Goods</t>
  </si>
  <si>
    <t>Public</t>
  </si>
  <si>
    <t>Surplus/</t>
  </si>
  <si>
    <t>Period</t>
  </si>
  <si>
    <t>Duties</t>
  </si>
  <si>
    <t>Taxes</t>
  </si>
  <si>
    <t>Revenue</t>
  </si>
  <si>
    <t>&amp; Services</t>
  </si>
  <si>
    <t>Enterprises.</t>
  </si>
  <si>
    <t>Expend.</t>
  </si>
  <si>
    <t>Deficit</t>
  </si>
  <si>
    <t>1990/91</t>
  </si>
  <si>
    <t>1991/92</t>
  </si>
  <si>
    <t>January</t>
  </si>
  <si>
    <t>February</t>
  </si>
  <si>
    <t>i</t>
  </si>
  <si>
    <t>April</t>
  </si>
  <si>
    <t>May</t>
  </si>
  <si>
    <t>ii</t>
  </si>
  <si>
    <t>September</t>
  </si>
  <si>
    <t>iii</t>
  </si>
  <si>
    <t>October</t>
  </si>
  <si>
    <t>November</t>
  </si>
  <si>
    <t>December</t>
  </si>
  <si>
    <t>iv</t>
  </si>
  <si>
    <t>(Million Leones)</t>
  </si>
  <si>
    <t>End of</t>
  </si>
  <si>
    <t>Bank of</t>
  </si>
  <si>
    <t>Comercial</t>
  </si>
  <si>
    <t>Non-Bank</t>
  </si>
  <si>
    <t>Sierra Leone</t>
  </si>
  <si>
    <t>Banks</t>
  </si>
  <si>
    <t>1999</t>
  </si>
  <si>
    <t>Commercial</t>
  </si>
  <si>
    <t>2000</t>
  </si>
  <si>
    <t xml:space="preserve">           -</t>
  </si>
  <si>
    <t xml:space="preserve">2001 </t>
  </si>
  <si>
    <t xml:space="preserve">July </t>
  </si>
  <si>
    <t>2002</t>
  </si>
  <si>
    <t>2003</t>
  </si>
  <si>
    <t xml:space="preserve">Domestic Taxes on </t>
  </si>
  <si>
    <t>Taxes on International</t>
  </si>
  <si>
    <t xml:space="preserve">Non-Tax </t>
  </si>
  <si>
    <t>Domestic</t>
  </si>
  <si>
    <t>2004</t>
  </si>
  <si>
    <t>2005</t>
  </si>
  <si>
    <t>2006</t>
  </si>
  <si>
    <t>4 - Central Government Current Revenue &amp; Expenditure</t>
  </si>
  <si>
    <t>5 -  Holdings of Sierra Leone Government Treasury Bills</t>
  </si>
  <si>
    <t>6 - Holdings of Sierra Leone Government Treasury Bearer Bonds</t>
  </si>
  <si>
    <t>(On Commitment Basis) (Leone Million)</t>
  </si>
  <si>
    <t>Source: Budget Bureau, Ministry of Finance</t>
  </si>
  <si>
    <t>2007</t>
  </si>
  <si>
    <t>2007*</t>
  </si>
  <si>
    <t>2008</t>
  </si>
  <si>
    <t xml:space="preserve">Note-   *includes Special TBs  </t>
  </si>
  <si>
    <t>2009</t>
  </si>
  <si>
    <t>2010</t>
  </si>
  <si>
    <t>2011</t>
  </si>
  <si>
    <t>2012</t>
  </si>
  <si>
    <t>SOURCE: Public Debt Section, Financial Market Dept. BSL</t>
  </si>
  <si>
    <t>SOURCE: Public Debt Section, Finanacial Market Dept. BSL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</si>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</sst>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_-* #,##0.00_-;\-* #,##0.00_-;_-* &quot;-&quot;??_-;_-@_-"/>
    <numFmt numFmtId="165" formatCode="_(* #,##0_);_(* \(#,##0\);_(* &quot;-&quot;??_);_(@_)"/>
    <numFmt numFmtId="166" formatCode="mmm\-yyyy"/>
    <numFmt numFmtId="167" formatCode="mmmm\ yyyy"/>
    <numFmt numFmtId="168" formatCode="_-* #,##0_-;\-* #,##0_-;_-* &quot;-&quot;??_-;_-@_-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165" fontId="0" fillId="0" borderId="0" xfId="0" applyNumberFormat="1"/>
    <xf numFmtId="41" fontId="0" fillId="0" borderId="0" xfId="0" applyNumberFormat="1"/>
    <xf numFmtId="165" fontId="1" fillId="0" borderId="0" xfId="1" applyNumberFormat="1"/>
    <xf numFmtId="0" fontId="0" fillId="0" borderId="0" xfId="0" applyAlignment="1">
      <alignment horizontal="left"/>
    </xf>
    <xf numFmtId="165" fontId="1" fillId="0" borderId="0" xfId="1" applyNumberFormat="1" applyBorder="1"/>
    <xf numFmtId="0" fontId="1" fillId="0" borderId="0" xfId="0" applyFont="1" applyAlignment="1">
      <alignment horizontal="center"/>
    </xf>
    <xf numFmtId="165" fontId="1" fillId="0" borderId="0" xfId="1" applyNumberFormat="1" applyFont="1"/>
    <xf numFmtId="165" fontId="1" fillId="0" borderId="0" xfId="1" applyNumberFormat="1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Fill="1"/>
    <xf numFmtId="165" fontId="2" fillId="0" borderId="0" xfId="1" applyNumberFormat="1" applyFont="1"/>
    <xf numFmtId="165" fontId="0" fillId="0" borderId="0" xfId="1" applyNumberFormat="1" applyFont="1" applyBorder="1"/>
    <xf numFmtId="165" fontId="0" fillId="0" borderId="0" xfId="1" applyNumberFormat="1" applyFont="1"/>
    <xf numFmtId="0" fontId="3" fillId="0" borderId="0" xfId="0" applyFont="1" applyBorder="1" applyAlignment="1">
      <alignment horizontal="center"/>
    </xf>
    <xf numFmtId="166" fontId="3" fillId="0" borderId="0" xfId="0" applyNumberFormat="1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165" fontId="7" fillId="0" borderId="0" xfId="0" applyNumberFormat="1" applyFont="1"/>
    <xf numFmtId="41" fontId="7" fillId="0" borderId="0" xfId="0" applyNumberFormat="1" applyFont="1"/>
    <xf numFmtId="0" fontId="7" fillId="0" borderId="0" xfId="0" applyFont="1" applyAlignment="1">
      <alignment horizontal="center"/>
    </xf>
    <xf numFmtId="168" fontId="7" fillId="0" borderId="0" xfId="0" applyNumberFormat="1" applyFont="1"/>
    <xf numFmtId="168" fontId="7" fillId="0" borderId="0" xfId="1" applyNumberFormat="1" applyFont="1"/>
    <xf numFmtId="165" fontId="7" fillId="0" borderId="0" xfId="1" applyNumberFormat="1" applyFo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1" fontId="7" fillId="0" borderId="0" xfId="0" applyNumberFormat="1" applyFont="1" applyBorder="1"/>
    <xf numFmtId="165" fontId="7" fillId="0" borderId="0" xfId="0" applyNumberFormat="1" applyFont="1" applyBorder="1"/>
    <xf numFmtId="165" fontId="7" fillId="0" borderId="0" xfId="1" applyNumberFormat="1" applyFont="1" applyBorder="1"/>
    <xf numFmtId="165" fontId="7" fillId="0" borderId="0" xfId="0" applyNumberFormat="1" applyFont="1" applyBorder="1" applyAlignment="1">
      <alignment horizontal="right"/>
    </xf>
    <xf numFmtId="164" fontId="7" fillId="0" borderId="0" xfId="1" applyFont="1"/>
    <xf numFmtId="41" fontId="7" fillId="0" borderId="0" xfId="0" applyNumberFormat="1" applyFont="1" applyAlignment="1">
      <alignment horizontal="left"/>
    </xf>
    <xf numFmtId="41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65" fontId="7" fillId="0" borderId="0" xfId="1" applyNumberFormat="1" applyFont="1" applyAlignment="1">
      <alignment horizontal="left"/>
    </xf>
    <xf numFmtId="165" fontId="7" fillId="0" borderId="0" xfId="1" applyNumberFormat="1" applyFont="1" applyBorder="1" applyAlignment="1">
      <alignment horizontal="left"/>
    </xf>
    <xf numFmtId="165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7" fillId="0" borderId="0" xfId="0" applyNumberFormat="1" applyFont="1" applyFill="1" applyAlignment="1">
      <alignment horizontal="left"/>
    </xf>
    <xf numFmtId="165" fontId="7" fillId="0" borderId="0" xfId="1" applyNumberFormat="1" applyFont="1" applyFill="1" applyBorder="1" applyAlignment="1">
      <alignment horizontal="left"/>
    </xf>
    <xf numFmtId="0" fontId="7" fillId="0" borderId="2" xfId="0" applyFont="1" applyBorder="1"/>
    <xf numFmtId="41" fontId="7" fillId="0" borderId="3" xfId="0" applyNumberFormat="1" applyFont="1" applyBorder="1"/>
    <xf numFmtId="0" fontId="0" fillId="0" borderId="0" xfId="0" applyBorder="1"/>
    <xf numFmtId="165" fontId="7" fillId="0" borderId="3" xfId="1" applyNumberFormat="1" applyFont="1" applyBorder="1"/>
    <xf numFmtId="165" fontId="7" fillId="0" borderId="3" xfId="0" applyNumberFormat="1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1" fontId="7" fillId="0" borderId="2" xfId="0" applyNumberFormat="1" applyFont="1" applyBorder="1"/>
    <xf numFmtId="0" fontId="7" fillId="0" borderId="0" xfId="0" applyFont="1" applyFill="1" applyAlignment="1">
      <alignment horizontal="left"/>
    </xf>
    <xf numFmtId="168" fontId="11" fillId="0" borderId="2" xfId="1" applyNumberFormat="1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165" fontId="8" fillId="0" borderId="11" xfId="0" applyNumberFormat="1" applyFont="1" applyBorder="1"/>
    <xf numFmtId="0" fontId="3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1" fontId="8" fillId="0" borderId="7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/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 applyAlignment="1">
      <alignment horizontal="left"/>
    </xf>
    <xf numFmtId="41" fontId="8" fillId="0" borderId="0" xfId="0" applyNumberFormat="1" applyFont="1" applyAlignment="1">
      <alignment horizontal="left"/>
    </xf>
    <xf numFmtId="0" fontId="8" fillId="0" borderId="0" xfId="0" applyFont="1" applyBorder="1"/>
    <xf numFmtId="0" fontId="6" fillId="0" borderId="0" xfId="0" applyFont="1"/>
    <xf numFmtId="0" fontId="8" fillId="0" borderId="14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67" fontId="8" fillId="0" borderId="0" xfId="0" quotePrefix="1" applyNumberFormat="1" applyFont="1" applyAlignment="1">
      <alignment horizontal="center"/>
    </xf>
    <xf numFmtId="166" fontId="8" fillId="0" borderId="0" xfId="0" quotePrefix="1" applyNumberFormat="1" applyFont="1" applyAlignment="1">
      <alignment horizontal="center"/>
    </xf>
    <xf numFmtId="167" fontId="8" fillId="0" borderId="0" xfId="0" applyNumberFormat="1" applyFont="1" applyAlignment="1">
      <alignment horizontal="left"/>
    </xf>
    <xf numFmtId="167" fontId="8" fillId="0" borderId="0" xfId="0" applyNumberFormat="1" applyFont="1" applyBorder="1" applyAlignment="1">
      <alignment horizontal="left"/>
    </xf>
    <xf numFmtId="0" fontId="8" fillId="0" borderId="0" xfId="0" applyFont="1" applyFill="1" applyBorder="1"/>
    <xf numFmtId="0" fontId="8" fillId="0" borderId="3" xfId="0" applyFont="1" applyBorder="1"/>
    <xf numFmtId="0" fontId="13" fillId="0" borderId="0" xfId="0" applyFont="1" applyFill="1" applyBorder="1"/>
    <xf numFmtId="0" fontId="8" fillId="0" borderId="0" xfId="0" applyFont="1" applyFill="1"/>
    <xf numFmtId="22" fontId="8" fillId="0" borderId="0" xfId="0" applyNumberFormat="1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Alignment="1"/>
    <xf numFmtId="167" fontId="8" fillId="0" borderId="0" xfId="0" applyNumberFormat="1" applyFont="1" applyAlignment="1"/>
    <xf numFmtId="0" fontId="8" fillId="0" borderId="0" xfId="0" applyFont="1" applyBorder="1" applyAlignment="1"/>
    <xf numFmtId="167" fontId="8" fillId="0" borderId="0" xfId="0" applyNumberFormat="1" applyFont="1" applyBorder="1" applyAlignment="1"/>
    <xf numFmtId="167" fontId="8" fillId="0" borderId="0" xfId="0" quotePrefix="1" applyNumberFormat="1" applyFont="1" applyAlignment="1"/>
    <xf numFmtId="167" fontId="8" fillId="0" borderId="0" xfId="0" quotePrefix="1" applyNumberFormat="1" applyFont="1" applyBorder="1" applyAlignment="1">
      <alignment horizontal="center"/>
    </xf>
    <xf numFmtId="165" fontId="8" fillId="0" borderId="0" xfId="1" applyNumberFormat="1" applyFont="1" applyFill="1" applyBorder="1"/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 applyBorder="1" applyAlignment="1">
      <alignment horizontal="left"/>
    </xf>
    <xf numFmtId="167" fontId="3" fillId="0" borderId="0" xfId="0" quotePrefix="1" applyNumberFormat="1" applyFont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5" fillId="0" borderId="0" xfId="0" applyFont="1" applyFill="1"/>
    <xf numFmtId="0" fontId="8" fillId="2" borderId="9" xfId="0" applyFont="1" applyFill="1" applyBorder="1"/>
    <xf numFmtId="0" fontId="8" fillId="2" borderId="1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5" fontId="7" fillId="2" borderId="0" xfId="0" applyNumberFormat="1" applyFont="1" applyFill="1"/>
    <xf numFmtId="168" fontId="7" fillId="2" borderId="0" xfId="0" applyNumberFormat="1" applyFont="1" applyFill="1"/>
    <xf numFmtId="41" fontId="7" fillId="2" borderId="0" xfId="0" applyNumberFormat="1" applyFont="1" applyFill="1"/>
    <xf numFmtId="0" fontId="7" fillId="2" borderId="0" xfId="0" applyFont="1" applyFill="1"/>
    <xf numFmtId="165" fontId="7" fillId="2" borderId="0" xfId="1" applyNumberFormat="1" applyFont="1" applyFill="1"/>
    <xf numFmtId="41" fontId="7" fillId="2" borderId="0" xfId="0" applyNumberFormat="1" applyFont="1" applyFill="1" applyBorder="1"/>
    <xf numFmtId="165" fontId="7" fillId="2" borderId="0" xfId="0" applyNumberFormat="1" applyFont="1" applyFill="1" applyBorder="1"/>
    <xf numFmtId="41" fontId="8" fillId="2" borderId="0" xfId="0" applyNumberFormat="1" applyFont="1" applyFill="1"/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8" fontId="11" fillId="0" borderId="2" xfId="1" applyNumberFormat="1" applyFont="1" applyFill="1" applyBorder="1"/>
    <xf numFmtId="0" fontId="0" fillId="0" borderId="0" xfId="0" applyFill="1"/>
    <xf numFmtId="0" fontId="0" fillId="2" borderId="0" xfId="0" applyFill="1"/>
    <xf numFmtId="168" fontId="11" fillId="0" borderId="0" xfId="1" applyNumberFormat="1" applyFont="1" applyFill="1" applyBorder="1"/>
    <xf numFmtId="0" fontId="0" fillId="2" borderId="0" xfId="0" applyFill="1" applyBorder="1"/>
    <xf numFmtId="168" fontId="11" fillId="0" borderId="0" xfId="1" applyNumberFormat="1" applyFont="1" applyBorder="1"/>
    <xf numFmtId="0" fontId="7" fillId="0" borderId="11" xfId="0" applyFont="1" applyFill="1" applyBorder="1"/>
    <xf numFmtId="165" fontId="7" fillId="0" borderId="0" xfId="0" applyNumberFormat="1" applyFont="1" applyFill="1" applyAlignment="1">
      <alignment horizontal="right"/>
    </xf>
    <xf numFmtId="165" fontId="11" fillId="0" borderId="2" xfId="1" applyNumberFormat="1" applyFont="1" applyFill="1" applyBorder="1"/>
    <xf numFmtId="41" fontId="7" fillId="0" borderId="5" xfId="0" applyNumberFormat="1" applyFont="1" applyBorder="1"/>
    <xf numFmtId="41" fontId="7" fillId="0" borderId="15" xfId="0" applyNumberFormat="1" applyFont="1" applyBorder="1"/>
    <xf numFmtId="168" fontId="0" fillId="0" borderId="0" xfId="0" applyNumberFormat="1" applyBorder="1"/>
    <xf numFmtId="168" fontId="0" fillId="0" borderId="0" xfId="0" applyNumberFormat="1"/>
    <xf numFmtId="0" fontId="7" fillId="2" borderId="0" xfId="0" applyFont="1" applyFill="1" applyBorder="1"/>
    <xf numFmtId="41" fontId="7" fillId="0" borderId="0" xfId="0" applyNumberFormat="1" applyFont="1" applyFill="1" applyBorder="1"/>
    <xf numFmtId="0" fontId="12" fillId="0" borderId="0" xfId="0" applyFont="1" applyFill="1" applyBorder="1"/>
    <xf numFmtId="0" fontId="12" fillId="0" borderId="0" xfId="0" applyFont="1" applyBorder="1"/>
    <xf numFmtId="165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8" fontId="7" fillId="0" borderId="0" xfId="1" applyNumberFormat="1" applyFont="1" applyBorder="1"/>
    <xf numFmtId="168" fontId="7" fillId="0" borderId="0" xfId="1" applyNumberFormat="1" applyFont="1" applyFill="1" applyBorder="1"/>
    <xf numFmtId="0" fontId="8" fillId="0" borderId="0" xfId="0" applyFont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93"/>
  <sheetViews>
    <sheetView tabSelected="1" zoomScale="60" zoomScaleNormal="60" workbookViewId="0">
      <pane xSplit="1" ySplit="20" topLeftCell="B377" activePane="bottomRight" state="frozen"/>
      <selection pane="topRight" activeCell="B1" sqref="B1"/>
      <selection pane="bottomLeft" activeCell="A21" sqref="A21"/>
      <selection pane="bottomRight" activeCell="C6" sqref="C6"/>
    </sheetView>
  </sheetViews>
  <sheetFormatPr defaultRowHeight="12.75" x14ac:dyDescent="0.2"/>
  <cols>
    <col min="1" max="1" width="16.28515625" customWidth="1"/>
    <col min="2" max="2" width="18.28515625" customWidth="1"/>
    <col min="3" max="3" width="15.140625" style="123" customWidth="1"/>
    <col min="4" max="4" width="17" customWidth="1"/>
    <col min="5" max="5" width="16.28515625" customWidth="1"/>
    <col min="6" max="6" width="16.5703125" customWidth="1"/>
    <col min="7" max="7" width="14.85546875" customWidth="1"/>
    <col min="8" max="8" width="17.7109375" customWidth="1"/>
    <col min="9" max="9" width="16.28515625" customWidth="1"/>
    <col min="10" max="10" width="14.85546875" customWidth="1"/>
    <col min="11" max="11" width="17.42578125" customWidth="1"/>
    <col min="12" max="12" width="14.85546875" customWidth="1"/>
    <col min="13" max="13" width="18.42578125" customWidth="1"/>
    <col min="14" max="14" width="18" customWidth="1"/>
    <col min="15" max="15" width="14.42578125" bestFit="1" customWidth="1"/>
    <col min="16" max="16" width="14.5703125" customWidth="1"/>
    <col min="17" max="17" width="15.140625" customWidth="1"/>
    <col min="18" max="18" width="15.42578125" bestFit="1" customWidth="1"/>
    <col min="19" max="19" width="14.85546875" customWidth="1"/>
    <col min="20" max="20" width="19" style="79" customWidth="1"/>
  </cols>
  <sheetData>
    <row r="1" spans="1:20" ht="30" customHeight="1" x14ac:dyDescent="0.3">
      <c r="A1" s="149" t="s">
        <v>64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0" ht="30" customHeight="1" x14ac:dyDescent="0.3">
      <c r="A2" s="150" t="s">
        <v>67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s="64" customFormat="1" ht="24.95" customHeight="1" x14ac:dyDescent="0.25">
      <c r="A3" s="58"/>
      <c r="B3" s="59"/>
      <c r="C3" s="106"/>
      <c r="D3" s="61"/>
      <c r="E3" s="151" t="s">
        <v>57</v>
      </c>
      <c r="F3" s="152"/>
      <c r="G3" s="153"/>
      <c r="H3" s="151" t="s">
        <v>58</v>
      </c>
      <c r="I3" s="152"/>
      <c r="J3" s="153"/>
      <c r="K3" s="60"/>
      <c r="L3" s="62"/>
      <c r="M3" s="60"/>
      <c r="N3" s="63"/>
      <c r="O3" s="60"/>
      <c r="P3" s="62"/>
      <c r="Q3" s="60"/>
      <c r="R3" s="62"/>
      <c r="S3" s="60"/>
      <c r="T3" s="62"/>
    </row>
    <row r="4" spans="1:20" s="64" customFormat="1" ht="24.95" customHeight="1" x14ac:dyDescent="0.25">
      <c r="A4" s="65"/>
      <c r="B4" s="146" t="s">
        <v>4</v>
      </c>
      <c r="C4" s="147"/>
      <c r="D4" s="148"/>
      <c r="E4" s="146" t="s">
        <v>5</v>
      </c>
      <c r="F4" s="147"/>
      <c r="G4" s="148"/>
      <c r="H4" s="146" t="s">
        <v>6</v>
      </c>
      <c r="I4" s="147"/>
      <c r="J4" s="148"/>
      <c r="K4" s="66"/>
      <c r="L4" s="57"/>
      <c r="M4" s="66"/>
      <c r="N4" s="57"/>
      <c r="O4" s="66"/>
      <c r="P4" s="67"/>
      <c r="Q4" s="68"/>
      <c r="R4" s="57"/>
      <c r="S4" s="66"/>
      <c r="T4" s="57"/>
    </row>
    <row r="5" spans="1:20" s="64" customFormat="1" ht="24.95" customHeight="1" x14ac:dyDescent="0.25">
      <c r="A5" s="65"/>
      <c r="B5" s="69"/>
      <c r="C5" s="107"/>
      <c r="D5" s="59"/>
      <c r="E5" s="69"/>
      <c r="F5" s="69"/>
      <c r="G5" s="59"/>
      <c r="H5" s="69"/>
      <c r="I5" s="69"/>
      <c r="J5" s="69"/>
      <c r="K5" s="66"/>
      <c r="L5" s="57" t="s">
        <v>7</v>
      </c>
      <c r="M5" s="66"/>
      <c r="N5" s="57"/>
      <c r="O5" s="66"/>
      <c r="P5" s="57" t="s">
        <v>7</v>
      </c>
      <c r="Q5" s="57" t="s">
        <v>7</v>
      </c>
      <c r="R5" s="57"/>
      <c r="S5" s="66" t="s">
        <v>8</v>
      </c>
      <c r="T5" s="57"/>
    </row>
    <row r="6" spans="1:20" s="64" customFormat="1" ht="24.95" customHeight="1" x14ac:dyDescent="0.25">
      <c r="A6" s="65"/>
      <c r="B6" s="57" t="s">
        <v>9</v>
      </c>
      <c r="C6" s="108" t="s">
        <v>10</v>
      </c>
      <c r="D6" s="65" t="s">
        <v>7</v>
      </c>
      <c r="E6" s="57" t="s">
        <v>11</v>
      </c>
      <c r="F6" s="57" t="s">
        <v>12</v>
      </c>
      <c r="G6" s="65" t="s">
        <v>7</v>
      </c>
      <c r="H6" s="57" t="s">
        <v>13</v>
      </c>
      <c r="I6" s="57" t="s">
        <v>14</v>
      </c>
      <c r="J6" s="57" t="s">
        <v>7</v>
      </c>
      <c r="K6" s="66" t="s">
        <v>15</v>
      </c>
      <c r="L6" s="57" t="s">
        <v>16</v>
      </c>
      <c r="M6" s="66" t="s">
        <v>17</v>
      </c>
      <c r="N6" s="57" t="s">
        <v>18</v>
      </c>
      <c r="O6" s="66"/>
      <c r="P6" s="57" t="s">
        <v>59</v>
      </c>
      <c r="Q6" s="57" t="s">
        <v>60</v>
      </c>
      <c r="R6" s="57" t="s">
        <v>7</v>
      </c>
      <c r="S6" s="66" t="s">
        <v>19</v>
      </c>
      <c r="T6" s="57"/>
    </row>
    <row r="7" spans="1:20" s="64" customFormat="1" ht="56.25" customHeight="1" thickBot="1" x14ac:dyDescent="0.3">
      <c r="A7" s="70" t="s">
        <v>20</v>
      </c>
      <c r="B7" s="71" t="s">
        <v>16</v>
      </c>
      <c r="C7" s="109" t="s">
        <v>16</v>
      </c>
      <c r="D7" s="72"/>
      <c r="E7" s="71" t="s">
        <v>21</v>
      </c>
      <c r="F7" s="71"/>
      <c r="G7" s="70"/>
      <c r="H7" s="71" t="s">
        <v>21</v>
      </c>
      <c r="I7" s="71" t="s">
        <v>21</v>
      </c>
      <c r="J7" s="71"/>
      <c r="K7" s="73" t="s">
        <v>22</v>
      </c>
      <c r="L7" s="71" t="s">
        <v>23</v>
      </c>
      <c r="M7" s="73" t="s">
        <v>24</v>
      </c>
      <c r="N7" s="71" t="s">
        <v>25</v>
      </c>
      <c r="O7" s="73" t="s">
        <v>12</v>
      </c>
      <c r="P7" s="71" t="s">
        <v>23</v>
      </c>
      <c r="Q7" s="71" t="s">
        <v>23</v>
      </c>
      <c r="R7" s="71" t="s">
        <v>26</v>
      </c>
      <c r="S7" s="73" t="s">
        <v>27</v>
      </c>
      <c r="T7" s="71" t="s">
        <v>20</v>
      </c>
    </row>
    <row r="8" spans="1:20" ht="24.95" customHeight="1" x14ac:dyDescent="0.25">
      <c r="A8" s="51">
        <v>1</v>
      </c>
      <c r="B8" s="52">
        <v>2</v>
      </c>
      <c r="C8" s="110">
        <v>3</v>
      </c>
      <c r="D8" s="51">
        <v>4</v>
      </c>
      <c r="E8" s="52">
        <v>5</v>
      </c>
      <c r="F8" s="52">
        <v>6</v>
      </c>
      <c r="G8" s="51">
        <v>7</v>
      </c>
      <c r="H8" s="52">
        <v>8</v>
      </c>
      <c r="I8" s="52">
        <v>9</v>
      </c>
      <c r="J8" s="52">
        <v>10</v>
      </c>
      <c r="K8" s="53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  <c r="T8" s="74">
        <v>20</v>
      </c>
    </row>
    <row r="9" spans="1:20" ht="30" hidden="1" customHeight="1" x14ac:dyDescent="0.25">
      <c r="A9" s="20" t="s">
        <v>28</v>
      </c>
      <c r="B9" s="21">
        <v>3008</v>
      </c>
      <c r="C9" s="111">
        <v>1374</v>
      </c>
      <c r="D9" s="21">
        <v>4382</v>
      </c>
      <c r="E9" s="21">
        <v>4928</v>
      </c>
      <c r="F9" s="21">
        <v>3318</v>
      </c>
      <c r="G9" s="21">
        <v>8246</v>
      </c>
      <c r="H9" s="21">
        <v>5214</v>
      </c>
      <c r="I9" s="22">
        <v>0</v>
      </c>
      <c r="J9" s="21">
        <v>5214</v>
      </c>
      <c r="K9" s="21">
        <v>93</v>
      </c>
      <c r="L9" s="21">
        <v>17935</v>
      </c>
      <c r="M9" s="21">
        <v>522</v>
      </c>
      <c r="N9" s="21">
        <v>281</v>
      </c>
      <c r="O9" s="21">
        <v>5</v>
      </c>
      <c r="P9" s="21">
        <v>808</v>
      </c>
      <c r="Q9" s="21">
        <v>18743</v>
      </c>
      <c r="R9" s="21">
        <v>23728</v>
      </c>
      <c r="S9" s="21">
        <v>-4985</v>
      </c>
      <c r="T9" s="75" t="s">
        <v>28</v>
      </c>
    </row>
    <row r="10" spans="1:20" ht="30" hidden="1" customHeight="1" x14ac:dyDescent="0.25">
      <c r="A10" s="20" t="s">
        <v>29</v>
      </c>
      <c r="B10" s="21">
        <v>3270</v>
      </c>
      <c r="C10" s="111">
        <v>1508</v>
      </c>
      <c r="D10" s="21">
        <v>4778</v>
      </c>
      <c r="E10" s="21">
        <v>4611</v>
      </c>
      <c r="F10" s="21">
        <v>476</v>
      </c>
      <c r="G10" s="21">
        <v>5087</v>
      </c>
      <c r="H10" s="21">
        <v>7083</v>
      </c>
      <c r="I10" s="22">
        <v>0</v>
      </c>
      <c r="J10" s="21">
        <v>7083</v>
      </c>
      <c r="K10" s="21">
        <v>243</v>
      </c>
      <c r="L10" s="21">
        <v>17191</v>
      </c>
      <c r="M10" s="21">
        <v>3694</v>
      </c>
      <c r="N10" s="22">
        <v>0</v>
      </c>
      <c r="O10" s="21">
        <v>582</v>
      </c>
      <c r="P10" s="21">
        <v>4276</v>
      </c>
      <c r="Q10" s="21">
        <v>21467</v>
      </c>
      <c r="R10" s="21">
        <v>32410</v>
      </c>
      <c r="S10" s="21">
        <v>-10943</v>
      </c>
      <c r="T10" s="75" t="s">
        <v>29</v>
      </c>
    </row>
    <row r="11" spans="1:20" ht="30" hidden="1" customHeight="1" x14ac:dyDescent="0.25">
      <c r="A11" s="23">
        <v>1993</v>
      </c>
      <c r="B11" s="21">
        <v>6547</v>
      </c>
      <c r="C11" s="111">
        <v>4602</v>
      </c>
      <c r="D11" s="21">
        <v>11149</v>
      </c>
      <c r="E11" s="21">
        <v>13629</v>
      </c>
      <c r="F11" s="21">
        <v>2684</v>
      </c>
      <c r="G11" s="21">
        <v>16313</v>
      </c>
      <c r="H11" s="21">
        <v>23779</v>
      </c>
      <c r="I11" s="22">
        <v>0</v>
      </c>
      <c r="J11" s="21">
        <v>23779</v>
      </c>
      <c r="K11" s="21">
        <v>640</v>
      </c>
      <c r="L11" s="21">
        <v>51881</v>
      </c>
      <c r="M11" s="21">
        <v>3633</v>
      </c>
      <c r="N11" s="21">
        <v>1983</v>
      </c>
      <c r="O11" s="21">
        <v>1907</v>
      </c>
      <c r="P11" s="21">
        <v>7523</v>
      </c>
      <c r="Q11" s="21">
        <v>59404</v>
      </c>
      <c r="R11" s="21">
        <v>76058</v>
      </c>
      <c r="S11" s="21">
        <v>-16654</v>
      </c>
      <c r="T11" s="36">
        <v>1993</v>
      </c>
    </row>
    <row r="12" spans="1:20" ht="30" hidden="1" customHeight="1" x14ac:dyDescent="0.25">
      <c r="A12" s="23">
        <v>1994</v>
      </c>
      <c r="B12" s="21">
        <v>8889</v>
      </c>
      <c r="C12" s="111">
        <v>5252</v>
      </c>
      <c r="D12" s="21">
        <v>14141</v>
      </c>
      <c r="E12" s="21">
        <v>17946</v>
      </c>
      <c r="F12" s="21">
        <v>2743</v>
      </c>
      <c r="G12" s="21">
        <v>20689</v>
      </c>
      <c r="H12" s="21">
        <v>26228</v>
      </c>
      <c r="I12" s="22">
        <v>0</v>
      </c>
      <c r="J12" s="21">
        <v>26228</v>
      </c>
      <c r="K12" s="21">
        <v>707</v>
      </c>
      <c r="L12" s="21">
        <v>61765</v>
      </c>
      <c r="M12" s="21">
        <v>5340</v>
      </c>
      <c r="N12" s="21">
        <v>100</v>
      </c>
      <c r="O12" s="21">
        <v>1821</v>
      </c>
      <c r="P12" s="21">
        <v>7261</v>
      </c>
      <c r="Q12" s="21">
        <v>69026</v>
      </c>
      <c r="R12" s="21">
        <v>101147</v>
      </c>
      <c r="S12" s="21">
        <v>-32121</v>
      </c>
      <c r="T12" s="36">
        <v>1994</v>
      </c>
    </row>
    <row r="13" spans="1:20" ht="30" hidden="1" customHeight="1" x14ac:dyDescent="0.25">
      <c r="A13" s="23">
        <v>1995</v>
      </c>
      <c r="B13" s="21">
        <v>13752</v>
      </c>
      <c r="C13" s="111">
        <v>9631</v>
      </c>
      <c r="D13" s="21">
        <v>23383</v>
      </c>
      <c r="E13" s="21">
        <v>32044</v>
      </c>
      <c r="F13" s="21">
        <v>5195</v>
      </c>
      <c r="G13" s="21">
        <v>37239</v>
      </c>
      <c r="H13" s="21">
        <v>54357</v>
      </c>
      <c r="I13" s="22">
        <v>0</v>
      </c>
      <c r="J13" s="21">
        <v>54357</v>
      </c>
      <c r="K13" s="21">
        <v>1368</v>
      </c>
      <c r="L13" s="21">
        <v>116347</v>
      </c>
      <c r="M13" s="21">
        <v>9722</v>
      </c>
      <c r="N13" s="21">
        <v>220</v>
      </c>
      <c r="O13" s="21">
        <v>4768</v>
      </c>
      <c r="P13" s="21">
        <v>14710</v>
      </c>
      <c r="Q13" s="21">
        <v>131057</v>
      </c>
      <c r="R13" s="21">
        <v>205726</v>
      </c>
      <c r="S13" s="21">
        <v>-74669</v>
      </c>
      <c r="T13" s="36">
        <v>1995</v>
      </c>
    </row>
    <row r="14" spans="1:20" ht="30" hidden="1" customHeight="1" x14ac:dyDescent="0.25">
      <c r="A14" s="23">
        <v>1996</v>
      </c>
      <c r="B14" s="21">
        <v>6937</v>
      </c>
      <c r="C14" s="111">
        <v>6676</v>
      </c>
      <c r="D14" s="21">
        <v>13613</v>
      </c>
      <c r="E14" s="21">
        <v>17358</v>
      </c>
      <c r="F14" s="21">
        <v>3244</v>
      </c>
      <c r="G14" s="21">
        <v>20602</v>
      </c>
      <c r="H14" s="21">
        <v>39742</v>
      </c>
      <c r="I14" s="22">
        <v>0</v>
      </c>
      <c r="J14" s="21">
        <v>39742</v>
      </c>
      <c r="K14" s="21">
        <v>542</v>
      </c>
      <c r="L14" s="21">
        <v>74499</v>
      </c>
      <c r="M14" s="21">
        <v>6095</v>
      </c>
      <c r="N14" s="21">
        <v>269</v>
      </c>
      <c r="O14" s="21">
        <v>3098</v>
      </c>
      <c r="P14" s="21">
        <v>9462</v>
      </c>
      <c r="Q14" s="21">
        <v>83961</v>
      </c>
      <c r="R14" s="21">
        <v>149320</v>
      </c>
      <c r="S14" s="21">
        <v>-65359</v>
      </c>
      <c r="T14" s="36">
        <v>1996</v>
      </c>
    </row>
    <row r="15" spans="1:20" ht="30" hidden="1" customHeight="1" x14ac:dyDescent="0.25">
      <c r="A15" s="23">
        <v>1997</v>
      </c>
      <c r="B15" s="21">
        <v>3292</v>
      </c>
      <c r="C15" s="111">
        <v>2409</v>
      </c>
      <c r="D15" s="21">
        <v>5964</v>
      </c>
      <c r="E15" s="21">
        <v>13148</v>
      </c>
      <c r="F15" s="21">
        <v>1723</v>
      </c>
      <c r="G15" s="21">
        <v>14871</v>
      </c>
      <c r="H15" s="21">
        <v>18282</v>
      </c>
      <c r="I15" s="22">
        <v>0</v>
      </c>
      <c r="J15" s="21">
        <v>18282</v>
      </c>
      <c r="K15" s="21">
        <v>354</v>
      </c>
      <c r="L15" s="21">
        <v>39471</v>
      </c>
      <c r="M15" s="21">
        <v>5639</v>
      </c>
      <c r="N15" s="21">
        <v>15</v>
      </c>
      <c r="O15" s="21">
        <v>1475</v>
      </c>
      <c r="P15" s="21">
        <v>7129</v>
      </c>
      <c r="Q15" s="21">
        <v>46600</v>
      </c>
      <c r="R15" s="21">
        <v>103011</v>
      </c>
      <c r="S15" s="21">
        <f t="shared" ref="S15:S46" si="0">Q15-R15</f>
        <v>-56411</v>
      </c>
      <c r="T15" s="36">
        <v>1997</v>
      </c>
    </row>
    <row r="16" spans="1:20" ht="30" hidden="1" customHeight="1" x14ac:dyDescent="0.25">
      <c r="A16" s="23">
        <v>1998</v>
      </c>
      <c r="B16" s="21">
        <v>6416</v>
      </c>
      <c r="C16" s="111">
        <v>5819</v>
      </c>
      <c r="D16" s="21">
        <v>12235</v>
      </c>
      <c r="E16" s="21">
        <v>12974</v>
      </c>
      <c r="F16" s="21">
        <v>3733</v>
      </c>
      <c r="G16" s="21">
        <v>16707</v>
      </c>
      <c r="H16" s="21">
        <v>37660</v>
      </c>
      <c r="I16" s="22">
        <v>0</v>
      </c>
      <c r="J16" s="21">
        <v>37660</v>
      </c>
      <c r="K16" s="21">
        <v>1087</v>
      </c>
      <c r="L16" s="21">
        <v>67689</v>
      </c>
      <c r="M16" s="21">
        <v>6610</v>
      </c>
      <c r="N16" s="22">
        <v>0</v>
      </c>
      <c r="O16" s="21">
        <v>2861</v>
      </c>
      <c r="P16" s="21">
        <v>9471</v>
      </c>
      <c r="Q16" s="21">
        <v>77160</v>
      </c>
      <c r="R16" s="21">
        <v>149427</v>
      </c>
      <c r="S16" s="21">
        <f t="shared" si="0"/>
        <v>-72267</v>
      </c>
      <c r="T16" s="36">
        <v>1998</v>
      </c>
    </row>
    <row r="17" spans="1:20" ht="30" hidden="1" customHeight="1" x14ac:dyDescent="0.25">
      <c r="A17" s="23">
        <v>1999</v>
      </c>
      <c r="B17" s="21">
        <v>8430</v>
      </c>
      <c r="C17" s="111">
        <v>13549</v>
      </c>
      <c r="D17" s="21">
        <v>21979</v>
      </c>
      <c r="E17" s="21">
        <v>12479</v>
      </c>
      <c r="F17" s="21">
        <v>415</v>
      </c>
      <c r="G17" s="21">
        <v>12894</v>
      </c>
      <c r="H17" s="21">
        <v>40974</v>
      </c>
      <c r="I17" s="22">
        <v>0</v>
      </c>
      <c r="J17" s="21">
        <v>40974</v>
      </c>
      <c r="K17" s="21">
        <v>167</v>
      </c>
      <c r="L17" s="21">
        <v>76014</v>
      </c>
      <c r="M17" s="21">
        <v>6982</v>
      </c>
      <c r="N17" s="22">
        <v>0</v>
      </c>
      <c r="O17" s="21">
        <v>2818</v>
      </c>
      <c r="P17" s="21">
        <v>9800</v>
      </c>
      <c r="Q17" s="21">
        <v>85814</v>
      </c>
      <c r="R17" s="21">
        <v>235940</v>
      </c>
      <c r="S17" s="21">
        <f t="shared" si="0"/>
        <v>-150126</v>
      </c>
      <c r="T17" s="36">
        <v>1999</v>
      </c>
    </row>
    <row r="18" spans="1:20" ht="30" hidden="1" customHeight="1" x14ac:dyDescent="0.25">
      <c r="A18" s="36">
        <v>2000</v>
      </c>
      <c r="B18" s="24">
        <v>15928</v>
      </c>
      <c r="C18" s="112">
        <v>23314</v>
      </c>
      <c r="D18" s="24">
        <v>39242</v>
      </c>
      <c r="E18" s="24">
        <v>18975</v>
      </c>
      <c r="F18" s="24">
        <v>532</v>
      </c>
      <c r="G18" s="24">
        <v>19507</v>
      </c>
      <c r="H18" s="24">
        <v>75917</v>
      </c>
      <c r="I18" s="22">
        <v>0</v>
      </c>
      <c r="J18" s="24">
        <v>75917</v>
      </c>
      <c r="K18" s="24">
        <v>496</v>
      </c>
      <c r="L18" s="24">
        <v>135162</v>
      </c>
      <c r="M18" s="24">
        <v>7757</v>
      </c>
      <c r="N18" s="24">
        <v>4612</v>
      </c>
      <c r="O18" s="24">
        <v>4643</v>
      </c>
      <c r="P18" s="24">
        <f t="shared" ref="P18:P49" si="1">O18+N18+M18</f>
        <v>17012</v>
      </c>
      <c r="Q18" s="24">
        <v>152174</v>
      </c>
      <c r="R18" s="25">
        <v>301830</v>
      </c>
      <c r="S18" s="21">
        <f t="shared" si="0"/>
        <v>-149656</v>
      </c>
      <c r="T18" s="36">
        <v>2000</v>
      </c>
    </row>
    <row r="19" spans="1:20" ht="30" hidden="1" customHeight="1" x14ac:dyDescent="0.25">
      <c r="A19" s="36">
        <v>2001</v>
      </c>
      <c r="B19" s="21">
        <v>19987</v>
      </c>
      <c r="C19" s="111">
        <v>33886</v>
      </c>
      <c r="D19" s="21">
        <v>53873</v>
      </c>
      <c r="E19" s="21">
        <v>27035</v>
      </c>
      <c r="F19" s="21">
        <v>6670</v>
      </c>
      <c r="G19" s="21">
        <v>33705</v>
      </c>
      <c r="H19" s="21">
        <v>104476</v>
      </c>
      <c r="I19" s="22">
        <v>0</v>
      </c>
      <c r="J19" s="21">
        <v>104476</v>
      </c>
      <c r="K19" s="21">
        <v>691</v>
      </c>
      <c r="L19" s="21">
        <v>192745</v>
      </c>
      <c r="M19" s="21">
        <v>6004</v>
      </c>
      <c r="N19" s="21">
        <v>3129</v>
      </c>
      <c r="O19" s="21">
        <v>6185</v>
      </c>
      <c r="P19" s="24">
        <f t="shared" si="1"/>
        <v>15318</v>
      </c>
      <c r="Q19" s="21">
        <f t="shared" ref="Q19:Q50" si="2">P19+L19</f>
        <v>208063</v>
      </c>
      <c r="R19" s="21">
        <v>354940</v>
      </c>
      <c r="S19" s="21">
        <f t="shared" si="0"/>
        <v>-146877</v>
      </c>
      <c r="T19" s="36">
        <v>2001</v>
      </c>
    </row>
    <row r="20" spans="1:20" ht="30" hidden="1" customHeight="1" x14ac:dyDescent="0.25">
      <c r="A20" s="36">
        <v>2002</v>
      </c>
      <c r="B20" s="22">
        <v>29118</v>
      </c>
      <c r="C20" s="113">
        <v>32525</v>
      </c>
      <c r="D20" s="22">
        <v>61643</v>
      </c>
      <c r="E20" s="22">
        <v>32127</v>
      </c>
      <c r="F20" s="22">
        <v>7758</v>
      </c>
      <c r="G20" s="22">
        <f t="shared" ref="G20:G51" si="3">E20+F20</f>
        <v>39885</v>
      </c>
      <c r="H20" s="22">
        <v>120703</v>
      </c>
      <c r="I20" s="22">
        <v>0</v>
      </c>
      <c r="J20" s="22">
        <v>120703</v>
      </c>
      <c r="K20" s="22">
        <v>1238</v>
      </c>
      <c r="L20" s="22">
        <v>223469</v>
      </c>
      <c r="M20" s="22">
        <v>6615</v>
      </c>
      <c r="N20" s="22">
        <v>1677</v>
      </c>
      <c r="O20" s="22">
        <v>6925</v>
      </c>
      <c r="P20" s="24">
        <f t="shared" si="1"/>
        <v>15217</v>
      </c>
      <c r="Q20" s="21">
        <f t="shared" si="2"/>
        <v>238686</v>
      </c>
      <c r="R20" s="22">
        <v>474827</v>
      </c>
      <c r="S20" s="21">
        <f t="shared" si="0"/>
        <v>-236141</v>
      </c>
      <c r="T20" s="36">
        <v>2002</v>
      </c>
    </row>
    <row r="21" spans="1:20" ht="30" customHeight="1" x14ac:dyDescent="0.25">
      <c r="A21" s="36">
        <v>2003</v>
      </c>
      <c r="B21" s="22">
        <v>38578</v>
      </c>
      <c r="C21" s="113">
        <v>34469</v>
      </c>
      <c r="D21" s="22">
        <f t="shared" ref="D21:D52" si="4">B21+C21</f>
        <v>73047</v>
      </c>
      <c r="E21" s="22">
        <v>41195</v>
      </c>
      <c r="F21" s="22">
        <v>7017</v>
      </c>
      <c r="G21" s="22">
        <f t="shared" si="3"/>
        <v>48212</v>
      </c>
      <c r="H21" s="22">
        <v>144166</v>
      </c>
      <c r="I21" s="22">
        <v>0</v>
      </c>
      <c r="J21" s="22">
        <f t="shared" ref="J21:J52" si="5">H21+I21</f>
        <v>144166</v>
      </c>
      <c r="K21" s="22">
        <v>2535</v>
      </c>
      <c r="L21" s="22">
        <f t="shared" ref="L21:L52" si="6">K21+J21+G21+D21</f>
        <v>267960</v>
      </c>
      <c r="M21" s="22">
        <v>7461</v>
      </c>
      <c r="N21" s="22">
        <v>2392</v>
      </c>
      <c r="O21" s="22">
        <v>9847</v>
      </c>
      <c r="P21" s="24">
        <f t="shared" si="1"/>
        <v>19700</v>
      </c>
      <c r="Q21" s="21">
        <f t="shared" si="2"/>
        <v>287660</v>
      </c>
      <c r="R21" s="22">
        <v>483355</v>
      </c>
      <c r="S21" s="21">
        <f t="shared" si="0"/>
        <v>-195695</v>
      </c>
      <c r="T21" s="36">
        <v>2003</v>
      </c>
    </row>
    <row r="22" spans="1:20" ht="30" hidden="1" customHeight="1" x14ac:dyDescent="0.25">
      <c r="A22" s="23">
        <v>2004</v>
      </c>
      <c r="B22" s="22">
        <v>47620</v>
      </c>
      <c r="C22" s="113">
        <v>46340</v>
      </c>
      <c r="D22" s="22">
        <f t="shared" si="4"/>
        <v>93960</v>
      </c>
      <c r="E22" s="22">
        <v>45800</v>
      </c>
      <c r="F22" s="22">
        <v>9655</v>
      </c>
      <c r="G22" s="22">
        <f t="shared" si="3"/>
        <v>55455</v>
      </c>
      <c r="H22" s="22">
        <v>166136</v>
      </c>
      <c r="I22" s="22">
        <v>0</v>
      </c>
      <c r="J22" s="22">
        <f t="shared" si="5"/>
        <v>166136</v>
      </c>
      <c r="K22" s="22">
        <v>3716</v>
      </c>
      <c r="L22" s="22">
        <f t="shared" si="6"/>
        <v>319267</v>
      </c>
      <c r="M22" s="22">
        <v>18491</v>
      </c>
      <c r="N22" s="22">
        <v>2355</v>
      </c>
      <c r="O22" s="22">
        <v>16853</v>
      </c>
      <c r="P22" s="24">
        <f t="shared" si="1"/>
        <v>37699</v>
      </c>
      <c r="Q22" s="21">
        <f t="shared" si="2"/>
        <v>356966</v>
      </c>
      <c r="R22" s="22">
        <v>555045</v>
      </c>
      <c r="S22" s="21">
        <f t="shared" si="0"/>
        <v>-198079</v>
      </c>
      <c r="T22" s="36">
        <v>2004</v>
      </c>
    </row>
    <row r="23" spans="1:20" ht="30" hidden="1" customHeight="1" x14ac:dyDescent="0.25">
      <c r="A23" s="23">
        <v>1996</v>
      </c>
      <c r="B23" s="20"/>
      <c r="C23" s="114"/>
      <c r="D23" s="22">
        <f t="shared" si="4"/>
        <v>0</v>
      </c>
      <c r="E23" s="20"/>
      <c r="F23" s="20"/>
      <c r="G23" s="22">
        <f t="shared" si="3"/>
        <v>0</v>
      </c>
      <c r="H23" s="20"/>
      <c r="I23" s="20"/>
      <c r="J23" s="22">
        <f t="shared" si="5"/>
        <v>0</v>
      </c>
      <c r="K23" s="20"/>
      <c r="L23" s="22">
        <f t="shared" si="6"/>
        <v>0</v>
      </c>
      <c r="M23" s="20"/>
      <c r="N23" s="22"/>
      <c r="O23" s="20"/>
      <c r="P23" s="24">
        <f t="shared" si="1"/>
        <v>0</v>
      </c>
      <c r="Q23" s="21">
        <f t="shared" si="2"/>
        <v>0</v>
      </c>
      <c r="R23" s="20"/>
      <c r="S23" s="21">
        <f t="shared" si="0"/>
        <v>0</v>
      </c>
      <c r="T23" s="36">
        <v>1996</v>
      </c>
    </row>
    <row r="24" spans="1:20" ht="30" hidden="1" customHeight="1" x14ac:dyDescent="0.25">
      <c r="A24" s="23" t="s">
        <v>32</v>
      </c>
      <c r="B24" s="21">
        <v>1373</v>
      </c>
      <c r="C24" s="111">
        <v>1446</v>
      </c>
      <c r="D24" s="22">
        <f t="shared" si="4"/>
        <v>2819</v>
      </c>
      <c r="E24" s="21"/>
      <c r="F24" s="21">
        <v>771</v>
      </c>
      <c r="G24" s="22">
        <f t="shared" si="3"/>
        <v>771</v>
      </c>
      <c r="H24" s="21">
        <v>8462</v>
      </c>
      <c r="I24" s="22">
        <v>0</v>
      </c>
      <c r="J24" s="22">
        <f t="shared" si="5"/>
        <v>8462</v>
      </c>
      <c r="K24" s="21">
        <v>171</v>
      </c>
      <c r="L24" s="22">
        <f t="shared" si="6"/>
        <v>12223</v>
      </c>
      <c r="M24" s="21">
        <v>1384</v>
      </c>
      <c r="N24" s="21">
        <v>0</v>
      </c>
      <c r="O24" s="21">
        <v>752</v>
      </c>
      <c r="P24" s="24">
        <f t="shared" si="1"/>
        <v>2136</v>
      </c>
      <c r="Q24" s="21">
        <f t="shared" si="2"/>
        <v>14359</v>
      </c>
      <c r="R24" s="21">
        <v>39337</v>
      </c>
      <c r="S24" s="21">
        <f t="shared" si="0"/>
        <v>-24978</v>
      </c>
      <c r="T24" s="36" t="s">
        <v>32</v>
      </c>
    </row>
    <row r="25" spans="1:20" ht="30" hidden="1" customHeight="1" x14ac:dyDescent="0.25">
      <c r="A25" s="23" t="s">
        <v>35</v>
      </c>
      <c r="B25" s="21">
        <v>1007</v>
      </c>
      <c r="C25" s="111">
        <v>1618</v>
      </c>
      <c r="D25" s="22">
        <f t="shared" si="4"/>
        <v>2625</v>
      </c>
      <c r="E25" s="21"/>
      <c r="F25" s="21">
        <v>931</v>
      </c>
      <c r="G25" s="22">
        <f t="shared" si="3"/>
        <v>931</v>
      </c>
      <c r="H25" s="21">
        <v>9854</v>
      </c>
      <c r="I25" s="22">
        <v>0</v>
      </c>
      <c r="J25" s="22">
        <f t="shared" si="5"/>
        <v>9854</v>
      </c>
      <c r="K25" s="21">
        <v>134</v>
      </c>
      <c r="L25" s="22">
        <f t="shared" si="6"/>
        <v>13544</v>
      </c>
      <c r="M25" s="21">
        <v>1642</v>
      </c>
      <c r="N25" s="21">
        <v>0</v>
      </c>
      <c r="O25" s="21">
        <v>865</v>
      </c>
      <c r="P25" s="24">
        <f t="shared" si="1"/>
        <v>2507</v>
      </c>
      <c r="Q25" s="21">
        <f t="shared" si="2"/>
        <v>16051</v>
      </c>
      <c r="R25" s="21">
        <v>41109</v>
      </c>
      <c r="S25" s="21">
        <f t="shared" si="0"/>
        <v>-25058</v>
      </c>
      <c r="T25" s="36" t="s">
        <v>35</v>
      </c>
    </row>
    <row r="26" spans="1:20" ht="30" hidden="1" customHeight="1" x14ac:dyDescent="0.25">
      <c r="A26" s="23" t="s">
        <v>37</v>
      </c>
      <c r="B26" s="21">
        <v>1772</v>
      </c>
      <c r="C26" s="111">
        <v>1914</v>
      </c>
      <c r="D26" s="22">
        <f t="shared" si="4"/>
        <v>3686</v>
      </c>
      <c r="E26" s="21"/>
      <c r="F26" s="21">
        <v>912</v>
      </c>
      <c r="G26" s="22">
        <f t="shared" si="3"/>
        <v>912</v>
      </c>
      <c r="H26" s="21">
        <v>11047</v>
      </c>
      <c r="I26" s="22">
        <v>0</v>
      </c>
      <c r="J26" s="22">
        <f t="shared" si="5"/>
        <v>11047</v>
      </c>
      <c r="K26" s="21">
        <v>124</v>
      </c>
      <c r="L26" s="22">
        <f t="shared" si="6"/>
        <v>15769</v>
      </c>
      <c r="M26" s="21">
        <v>1728</v>
      </c>
      <c r="N26" s="21">
        <v>269</v>
      </c>
      <c r="O26" s="21">
        <v>731</v>
      </c>
      <c r="P26" s="24">
        <f t="shared" si="1"/>
        <v>2728</v>
      </c>
      <c r="Q26" s="21">
        <f t="shared" si="2"/>
        <v>18497</v>
      </c>
      <c r="R26" s="21">
        <v>32865</v>
      </c>
      <c r="S26" s="21">
        <f t="shared" si="0"/>
        <v>-14368</v>
      </c>
      <c r="T26" s="36" t="s">
        <v>37</v>
      </c>
    </row>
    <row r="27" spans="1:20" ht="30" hidden="1" customHeight="1" x14ac:dyDescent="0.25">
      <c r="A27" s="23" t="s">
        <v>41</v>
      </c>
      <c r="B27" s="21">
        <v>2785</v>
      </c>
      <c r="C27" s="111">
        <v>1698</v>
      </c>
      <c r="D27" s="22">
        <f t="shared" si="4"/>
        <v>4483</v>
      </c>
      <c r="E27" s="21"/>
      <c r="F27" s="21">
        <v>630</v>
      </c>
      <c r="G27" s="22">
        <f t="shared" si="3"/>
        <v>630</v>
      </c>
      <c r="H27" s="21">
        <v>10379</v>
      </c>
      <c r="I27" s="22">
        <v>0</v>
      </c>
      <c r="J27" s="22">
        <f t="shared" si="5"/>
        <v>10379</v>
      </c>
      <c r="K27" s="21">
        <v>113</v>
      </c>
      <c r="L27" s="22">
        <f t="shared" si="6"/>
        <v>15605</v>
      </c>
      <c r="M27" s="21">
        <v>1341</v>
      </c>
      <c r="N27" s="21">
        <v>0</v>
      </c>
      <c r="O27" s="21">
        <v>750</v>
      </c>
      <c r="P27" s="24">
        <f t="shared" si="1"/>
        <v>2091</v>
      </c>
      <c r="Q27" s="21">
        <f t="shared" si="2"/>
        <v>17696</v>
      </c>
      <c r="R27" s="21">
        <v>36009</v>
      </c>
      <c r="S27" s="21">
        <f t="shared" si="0"/>
        <v>-18313</v>
      </c>
      <c r="T27" s="36" t="s">
        <v>41</v>
      </c>
    </row>
    <row r="28" spans="1:20" ht="30" hidden="1" customHeight="1" x14ac:dyDescent="0.25">
      <c r="A28" s="23"/>
      <c r="B28" s="20"/>
      <c r="C28" s="114"/>
      <c r="D28" s="22">
        <f t="shared" si="4"/>
        <v>0</v>
      </c>
      <c r="E28" s="20"/>
      <c r="F28" s="20"/>
      <c r="G28" s="22">
        <f t="shared" si="3"/>
        <v>0</v>
      </c>
      <c r="H28" s="20"/>
      <c r="I28" s="20"/>
      <c r="J28" s="22">
        <f t="shared" si="5"/>
        <v>0</v>
      </c>
      <c r="K28" s="20"/>
      <c r="L28" s="22">
        <f t="shared" si="6"/>
        <v>0</v>
      </c>
      <c r="M28" s="20"/>
      <c r="N28" s="20"/>
      <c r="O28" s="20"/>
      <c r="P28" s="24">
        <f t="shared" si="1"/>
        <v>0</v>
      </c>
      <c r="Q28" s="21">
        <f t="shared" si="2"/>
        <v>0</v>
      </c>
      <c r="R28" s="20"/>
      <c r="S28" s="21">
        <f t="shared" si="0"/>
        <v>0</v>
      </c>
      <c r="T28" s="36"/>
    </row>
    <row r="29" spans="1:20" ht="30" hidden="1" customHeight="1" x14ac:dyDescent="0.25">
      <c r="A29" s="23"/>
      <c r="B29" s="20"/>
      <c r="C29" s="114"/>
      <c r="D29" s="22">
        <f t="shared" si="4"/>
        <v>0</v>
      </c>
      <c r="E29" s="20"/>
      <c r="F29" s="20"/>
      <c r="G29" s="22">
        <f t="shared" si="3"/>
        <v>0</v>
      </c>
      <c r="H29" s="20"/>
      <c r="I29" s="20"/>
      <c r="J29" s="22">
        <f t="shared" si="5"/>
        <v>0</v>
      </c>
      <c r="K29" s="20"/>
      <c r="L29" s="22">
        <f t="shared" si="6"/>
        <v>0</v>
      </c>
      <c r="M29" s="20"/>
      <c r="N29" s="20"/>
      <c r="O29" s="20"/>
      <c r="P29" s="24">
        <f t="shared" si="1"/>
        <v>0</v>
      </c>
      <c r="Q29" s="21">
        <f t="shared" si="2"/>
        <v>0</v>
      </c>
      <c r="R29" s="20"/>
      <c r="S29" s="21">
        <f t="shared" si="0"/>
        <v>0</v>
      </c>
      <c r="T29" s="36"/>
    </row>
    <row r="30" spans="1:20" ht="30" hidden="1" customHeight="1" x14ac:dyDescent="0.25">
      <c r="A30" s="23">
        <v>1997</v>
      </c>
      <c r="B30" s="20"/>
      <c r="C30" s="114"/>
      <c r="D30" s="22">
        <f t="shared" si="4"/>
        <v>0</v>
      </c>
      <c r="E30" s="20"/>
      <c r="F30" s="20"/>
      <c r="G30" s="22">
        <f t="shared" si="3"/>
        <v>0</v>
      </c>
      <c r="H30" s="20"/>
      <c r="I30" s="20"/>
      <c r="J30" s="22">
        <f t="shared" si="5"/>
        <v>0</v>
      </c>
      <c r="K30" s="20"/>
      <c r="L30" s="22">
        <f t="shared" si="6"/>
        <v>0</v>
      </c>
      <c r="M30" s="20"/>
      <c r="N30" s="20"/>
      <c r="O30" s="20"/>
      <c r="P30" s="24">
        <f t="shared" si="1"/>
        <v>0</v>
      </c>
      <c r="Q30" s="21">
        <f t="shared" si="2"/>
        <v>0</v>
      </c>
      <c r="R30" s="20"/>
      <c r="S30" s="21">
        <f t="shared" si="0"/>
        <v>0</v>
      </c>
      <c r="T30" s="36">
        <v>1997</v>
      </c>
    </row>
    <row r="31" spans="1:20" ht="30" hidden="1" customHeight="1" x14ac:dyDescent="0.25">
      <c r="A31" s="23" t="s">
        <v>32</v>
      </c>
      <c r="B31" s="26">
        <v>2289</v>
      </c>
      <c r="C31" s="115">
        <v>1575</v>
      </c>
      <c r="D31" s="22">
        <f t="shared" si="4"/>
        <v>3864</v>
      </c>
      <c r="E31" s="26"/>
      <c r="F31" s="26">
        <v>1242</v>
      </c>
      <c r="G31" s="22">
        <f t="shared" si="3"/>
        <v>1242</v>
      </c>
      <c r="H31" s="26">
        <v>10726</v>
      </c>
      <c r="I31" s="22">
        <v>0</v>
      </c>
      <c r="J31" s="22">
        <f t="shared" si="5"/>
        <v>10726</v>
      </c>
      <c r="K31" s="26">
        <v>255</v>
      </c>
      <c r="L31" s="22">
        <f t="shared" si="6"/>
        <v>16087</v>
      </c>
      <c r="M31" s="26">
        <v>986</v>
      </c>
      <c r="N31" s="22">
        <v>0</v>
      </c>
      <c r="O31" s="26">
        <v>815</v>
      </c>
      <c r="P31" s="24">
        <f t="shared" si="1"/>
        <v>1801</v>
      </c>
      <c r="Q31" s="21">
        <f t="shared" si="2"/>
        <v>17888</v>
      </c>
      <c r="R31" s="26">
        <v>30917</v>
      </c>
      <c r="S31" s="21">
        <f t="shared" si="0"/>
        <v>-13029</v>
      </c>
      <c r="T31" s="36" t="s">
        <v>32</v>
      </c>
    </row>
    <row r="32" spans="1:20" ht="30" hidden="1" customHeight="1" x14ac:dyDescent="0.25">
      <c r="A32" s="23" t="s">
        <v>35</v>
      </c>
      <c r="B32" s="26">
        <v>1003</v>
      </c>
      <c r="C32" s="115">
        <v>834</v>
      </c>
      <c r="D32" s="22">
        <f t="shared" si="4"/>
        <v>1837</v>
      </c>
      <c r="E32" s="26"/>
      <c r="F32" s="26">
        <v>461</v>
      </c>
      <c r="G32" s="22">
        <f t="shared" si="3"/>
        <v>461</v>
      </c>
      <c r="H32" s="26">
        <v>7070</v>
      </c>
      <c r="I32" s="22">
        <v>0</v>
      </c>
      <c r="J32" s="22">
        <f t="shared" si="5"/>
        <v>7070</v>
      </c>
      <c r="K32" s="26">
        <v>99</v>
      </c>
      <c r="L32" s="22">
        <f t="shared" si="6"/>
        <v>9467</v>
      </c>
      <c r="M32" s="26">
        <v>650</v>
      </c>
      <c r="N32" s="26">
        <v>15</v>
      </c>
      <c r="O32" s="26">
        <v>660</v>
      </c>
      <c r="P32" s="24">
        <f t="shared" si="1"/>
        <v>1325</v>
      </c>
      <c r="Q32" s="21">
        <f t="shared" si="2"/>
        <v>10792</v>
      </c>
      <c r="R32" s="26">
        <v>31841</v>
      </c>
      <c r="S32" s="21">
        <f t="shared" si="0"/>
        <v>-21049</v>
      </c>
      <c r="T32" s="36" t="s">
        <v>35</v>
      </c>
    </row>
    <row r="33" spans="1:20" ht="30" hidden="1" customHeight="1" x14ac:dyDescent="0.25">
      <c r="A33" s="23" t="s">
        <v>37</v>
      </c>
      <c r="B33" s="22">
        <v>0</v>
      </c>
      <c r="C33" s="113">
        <v>0</v>
      </c>
      <c r="D33" s="22">
        <f t="shared" si="4"/>
        <v>0</v>
      </c>
      <c r="E33" s="26"/>
      <c r="F33" s="22">
        <v>0</v>
      </c>
      <c r="G33" s="22">
        <f t="shared" si="3"/>
        <v>0</v>
      </c>
      <c r="H33" s="26">
        <v>280</v>
      </c>
      <c r="I33" s="22">
        <v>0</v>
      </c>
      <c r="J33" s="22">
        <f t="shared" si="5"/>
        <v>280</v>
      </c>
      <c r="K33" s="22">
        <v>0</v>
      </c>
      <c r="L33" s="22">
        <f t="shared" si="6"/>
        <v>280</v>
      </c>
      <c r="M33" s="26">
        <v>1961</v>
      </c>
      <c r="N33" s="22">
        <v>0</v>
      </c>
      <c r="O33" s="22">
        <v>0</v>
      </c>
      <c r="P33" s="24">
        <f t="shared" si="1"/>
        <v>1961</v>
      </c>
      <c r="Q33" s="21">
        <f t="shared" si="2"/>
        <v>2241</v>
      </c>
      <c r="R33" s="26">
        <v>14001</v>
      </c>
      <c r="S33" s="21">
        <f t="shared" si="0"/>
        <v>-11760</v>
      </c>
      <c r="T33" s="36" t="s">
        <v>37</v>
      </c>
    </row>
    <row r="34" spans="1:20" ht="30" hidden="1" customHeight="1" x14ac:dyDescent="0.25">
      <c r="A34" s="23" t="s">
        <v>41</v>
      </c>
      <c r="B34" s="22">
        <v>0</v>
      </c>
      <c r="C34" s="113">
        <v>0</v>
      </c>
      <c r="D34" s="22">
        <f t="shared" si="4"/>
        <v>0</v>
      </c>
      <c r="E34" s="21"/>
      <c r="F34" s="21">
        <v>20</v>
      </c>
      <c r="G34" s="22">
        <f t="shared" si="3"/>
        <v>20</v>
      </c>
      <c r="H34" s="21">
        <v>206</v>
      </c>
      <c r="I34" s="22">
        <v>0</v>
      </c>
      <c r="J34" s="22">
        <f t="shared" si="5"/>
        <v>206</v>
      </c>
      <c r="K34" s="22">
        <v>0</v>
      </c>
      <c r="L34" s="22">
        <f t="shared" si="6"/>
        <v>226</v>
      </c>
      <c r="M34" s="21">
        <v>2042</v>
      </c>
      <c r="N34" s="22">
        <v>0</v>
      </c>
      <c r="O34" s="22">
        <v>0</v>
      </c>
      <c r="P34" s="24">
        <f t="shared" si="1"/>
        <v>2042</v>
      </c>
      <c r="Q34" s="21">
        <f t="shared" si="2"/>
        <v>2268</v>
      </c>
      <c r="R34" s="21">
        <v>26252</v>
      </c>
      <c r="S34" s="21">
        <f t="shared" si="0"/>
        <v>-23984</v>
      </c>
      <c r="T34" s="36" t="s">
        <v>41</v>
      </c>
    </row>
    <row r="35" spans="1:20" ht="30" hidden="1" customHeight="1" x14ac:dyDescent="0.25">
      <c r="A35" s="23"/>
      <c r="B35" s="21"/>
      <c r="C35" s="111"/>
      <c r="D35" s="22">
        <f t="shared" si="4"/>
        <v>0</v>
      </c>
      <c r="E35" s="21"/>
      <c r="F35" s="21"/>
      <c r="G35" s="22">
        <f t="shared" si="3"/>
        <v>0</v>
      </c>
      <c r="H35" s="21"/>
      <c r="I35" s="21"/>
      <c r="J35" s="22">
        <f t="shared" si="5"/>
        <v>0</v>
      </c>
      <c r="K35" s="21"/>
      <c r="L35" s="22">
        <f t="shared" si="6"/>
        <v>0</v>
      </c>
      <c r="M35" s="21"/>
      <c r="N35" s="21"/>
      <c r="O35" s="21"/>
      <c r="P35" s="24">
        <f t="shared" si="1"/>
        <v>0</v>
      </c>
      <c r="Q35" s="21">
        <f t="shared" si="2"/>
        <v>0</v>
      </c>
      <c r="R35" s="21"/>
      <c r="S35" s="21">
        <f t="shared" si="0"/>
        <v>0</v>
      </c>
      <c r="T35" s="36"/>
    </row>
    <row r="36" spans="1:20" ht="30" hidden="1" customHeight="1" x14ac:dyDescent="0.25">
      <c r="A36" s="23">
        <v>1998</v>
      </c>
      <c r="B36" s="21"/>
      <c r="C36" s="111"/>
      <c r="D36" s="22">
        <f t="shared" si="4"/>
        <v>0</v>
      </c>
      <c r="E36" s="21"/>
      <c r="F36" s="21"/>
      <c r="G36" s="22">
        <f t="shared" si="3"/>
        <v>0</v>
      </c>
      <c r="H36" s="21"/>
      <c r="I36" s="21"/>
      <c r="J36" s="22">
        <f t="shared" si="5"/>
        <v>0</v>
      </c>
      <c r="K36" s="21"/>
      <c r="L36" s="22">
        <f t="shared" si="6"/>
        <v>0</v>
      </c>
      <c r="M36" s="21"/>
      <c r="N36" s="21"/>
      <c r="O36" s="21"/>
      <c r="P36" s="24">
        <f t="shared" si="1"/>
        <v>0</v>
      </c>
      <c r="Q36" s="21">
        <f t="shared" si="2"/>
        <v>0</v>
      </c>
      <c r="R36" s="21"/>
      <c r="S36" s="21">
        <f t="shared" si="0"/>
        <v>0</v>
      </c>
      <c r="T36" s="36">
        <v>1998</v>
      </c>
    </row>
    <row r="37" spans="1:20" ht="30" hidden="1" customHeight="1" x14ac:dyDescent="0.25">
      <c r="A37" s="23" t="s">
        <v>32</v>
      </c>
      <c r="B37" s="21">
        <v>10</v>
      </c>
      <c r="C37" s="111">
        <v>100</v>
      </c>
      <c r="D37" s="22">
        <f t="shared" si="4"/>
        <v>110</v>
      </c>
      <c r="E37" s="21">
        <v>206</v>
      </c>
      <c r="F37" s="21">
        <v>11</v>
      </c>
      <c r="G37" s="22">
        <f t="shared" si="3"/>
        <v>217</v>
      </c>
      <c r="H37" s="21">
        <v>1191</v>
      </c>
      <c r="I37" s="22">
        <v>0</v>
      </c>
      <c r="J37" s="22">
        <f t="shared" si="5"/>
        <v>1191</v>
      </c>
      <c r="K37" s="21">
        <v>20</v>
      </c>
      <c r="L37" s="22">
        <f t="shared" si="6"/>
        <v>1538</v>
      </c>
      <c r="M37" s="21">
        <v>101</v>
      </c>
      <c r="N37" s="22">
        <v>0</v>
      </c>
      <c r="O37" s="21">
        <v>17</v>
      </c>
      <c r="P37" s="24">
        <f t="shared" si="1"/>
        <v>118</v>
      </c>
      <c r="Q37" s="21">
        <f t="shared" si="2"/>
        <v>1656</v>
      </c>
      <c r="R37" s="21">
        <v>12258</v>
      </c>
      <c r="S37" s="21">
        <f t="shared" si="0"/>
        <v>-10602</v>
      </c>
      <c r="T37" s="36" t="s">
        <v>32</v>
      </c>
    </row>
    <row r="38" spans="1:20" ht="30" hidden="1" customHeight="1" x14ac:dyDescent="0.25">
      <c r="A38" s="23" t="s">
        <v>35</v>
      </c>
      <c r="B38" s="21">
        <v>447</v>
      </c>
      <c r="C38" s="111">
        <v>1412</v>
      </c>
      <c r="D38" s="22">
        <f t="shared" si="4"/>
        <v>1859</v>
      </c>
      <c r="E38" s="21">
        <v>3113</v>
      </c>
      <c r="F38" s="21">
        <v>2055</v>
      </c>
      <c r="G38" s="22">
        <f t="shared" si="3"/>
        <v>5168</v>
      </c>
      <c r="H38" s="21">
        <v>9075</v>
      </c>
      <c r="I38" s="22">
        <v>0</v>
      </c>
      <c r="J38" s="22">
        <f t="shared" si="5"/>
        <v>9075</v>
      </c>
      <c r="K38" s="21">
        <v>749</v>
      </c>
      <c r="L38" s="22">
        <f t="shared" si="6"/>
        <v>16851</v>
      </c>
      <c r="M38" s="21">
        <v>1735</v>
      </c>
      <c r="N38" s="22">
        <v>0</v>
      </c>
      <c r="O38" s="21">
        <v>996</v>
      </c>
      <c r="P38" s="24">
        <f t="shared" si="1"/>
        <v>2731</v>
      </c>
      <c r="Q38" s="21">
        <f t="shared" si="2"/>
        <v>19582</v>
      </c>
      <c r="R38" s="21">
        <v>31291</v>
      </c>
      <c r="S38" s="21">
        <f t="shared" si="0"/>
        <v>-11709</v>
      </c>
      <c r="T38" s="36" t="s">
        <v>35</v>
      </c>
    </row>
    <row r="39" spans="1:20" ht="30" hidden="1" customHeight="1" x14ac:dyDescent="0.25">
      <c r="A39" s="23" t="s">
        <v>37</v>
      </c>
      <c r="B39" s="22">
        <v>2246</v>
      </c>
      <c r="C39" s="113">
        <v>2076</v>
      </c>
      <c r="D39" s="22">
        <f t="shared" si="4"/>
        <v>4322</v>
      </c>
      <c r="E39" s="22">
        <v>4444</v>
      </c>
      <c r="F39" s="22">
        <v>1090</v>
      </c>
      <c r="G39" s="22">
        <f t="shared" si="3"/>
        <v>5534</v>
      </c>
      <c r="H39" s="22">
        <v>14546</v>
      </c>
      <c r="I39" s="22">
        <v>0</v>
      </c>
      <c r="J39" s="22">
        <f t="shared" si="5"/>
        <v>14546</v>
      </c>
      <c r="K39" s="22">
        <v>102</v>
      </c>
      <c r="L39" s="22">
        <f t="shared" si="6"/>
        <v>24504</v>
      </c>
      <c r="M39" s="22">
        <v>2137</v>
      </c>
      <c r="N39" s="22">
        <v>0</v>
      </c>
      <c r="O39" s="22">
        <v>879</v>
      </c>
      <c r="P39" s="24">
        <f t="shared" si="1"/>
        <v>3016</v>
      </c>
      <c r="Q39" s="21">
        <f t="shared" si="2"/>
        <v>27520</v>
      </c>
      <c r="R39" s="22">
        <v>43943</v>
      </c>
      <c r="S39" s="21">
        <f t="shared" si="0"/>
        <v>-16423</v>
      </c>
      <c r="T39" s="36" t="s">
        <v>37</v>
      </c>
    </row>
    <row r="40" spans="1:20" ht="30" hidden="1" customHeight="1" x14ac:dyDescent="0.25">
      <c r="A40" s="23" t="s">
        <v>41</v>
      </c>
      <c r="B40" s="21">
        <v>3713</v>
      </c>
      <c r="C40" s="111">
        <v>2231</v>
      </c>
      <c r="D40" s="22">
        <f t="shared" si="4"/>
        <v>5944</v>
      </c>
      <c r="E40" s="21">
        <v>5211</v>
      </c>
      <c r="F40" s="21">
        <v>577</v>
      </c>
      <c r="G40" s="22">
        <f t="shared" si="3"/>
        <v>5788</v>
      </c>
      <c r="H40" s="21">
        <v>12848</v>
      </c>
      <c r="I40" s="22">
        <v>0</v>
      </c>
      <c r="J40" s="22">
        <f t="shared" si="5"/>
        <v>12848</v>
      </c>
      <c r="K40" s="21">
        <v>216</v>
      </c>
      <c r="L40" s="22">
        <f t="shared" si="6"/>
        <v>24796</v>
      </c>
      <c r="M40" s="21">
        <v>2637</v>
      </c>
      <c r="N40" s="22">
        <v>0</v>
      </c>
      <c r="O40" s="21">
        <v>969</v>
      </c>
      <c r="P40" s="24">
        <f t="shared" si="1"/>
        <v>3606</v>
      </c>
      <c r="Q40" s="21">
        <f t="shared" si="2"/>
        <v>28402</v>
      </c>
      <c r="R40" s="21">
        <v>61935</v>
      </c>
      <c r="S40" s="21">
        <f t="shared" si="0"/>
        <v>-33533</v>
      </c>
      <c r="T40" s="36" t="s">
        <v>41</v>
      </c>
    </row>
    <row r="41" spans="1:20" ht="30" hidden="1" customHeight="1" x14ac:dyDescent="0.25">
      <c r="A41" s="23"/>
      <c r="B41" s="21"/>
      <c r="C41" s="111"/>
      <c r="D41" s="22">
        <f t="shared" si="4"/>
        <v>0</v>
      </c>
      <c r="E41" s="21"/>
      <c r="F41" s="21"/>
      <c r="G41" s="22">
        <f t="shared" si="3"/>
        <v>0</v>
      </c>
      <c r="H41" s="21"/>
      <c r="I41" s="21"/>
      <c r="J41" s="22">
        <f t="shared" si="5"/>
        <v>0</v>
      </c>
      <c r="K41" s="21"/>
      <c r="L41" s="22">
        <f t="shared" si="6"/>
        <v>0</v>
      </c>
      <c r="M41" s="21"/>
      <c r="N41" s="21"/>
      <c r="O41" s="21"/>
      <c r="P41" s="24">
        <f t="shared" si="1"/>
        <v>0</v>
      </c>
      <c r="Q41" s="21">
        <f t="shared" si="2"/>
        <v>0</v>
      </c>
      <c r="R41" s="21"/>
      <c r="S41" s="21">
        <f t="shared" si="0"/>
        <v>0</v>
      </c>
      <c r="T41" s="36"/>
    </row>
    <row r="42" spans="1:20" ht="30" hidden="1" customHeight="1" x14ac:dyDescent="0.25">
      <c r="A42" s="23">
        <v>1999</v>
      </c>
      <c r="B42" s="21"/>
      <c r="C42" s="111"/>
      <c r="D42" s="22">
        <f t="shared" si="4"/>
        <v>0</v>
      </c>
      <c r="E42" s="21"/>
      <c r="F42" s="21"/>
      <c r="G42" s="22">
        <f t="shared" si="3"/>
        <v>0</v>
      </c>
      <c r="H42" s="21"/>
      <c r="I42" s="21"/>
      <c r="J42" s="22">
        <f t="shared" si="5"/>
        <v>0</v>
      </c>
      <c r="K42" s="21"/>
      <c r="L42" s="22">
        <f t="shared" si="6"/>
        <v>0</v>
      </c>
      <c r="M42" s="21"/>
      <c r="N42" s="21"/>
      <c r="O42" s="21"/>
      <c r="P42" s="24">
        <f t="shared" si="1"/>
        <v>0</v>
      </c>
      <c r="Q42" s="21">
        <f t="shared" si="2"/>
        <v>0</v>
      </c>
      <c r="R42" s="21"/>
      <c r="S42" s="21">
        <f t="shared" si="0"/>
        <v>0</v>
      </c>
      <c r="T42" s="36">
        <v>1999</v>
      </c>
    </row>
    <row r="43" spans="1:20" ht="30" hidden="1" customHeight="1" x14ac:dyDescent="0.25">
      <c r="A43" s="23" t="s">
        <v>32</v>
      </c>
      <c r="B43" s="21">
        <v>87</v>
      </c>
      <c r="C43" s="111">
        <v>1308</v>
      </c>
      <c r="D43" s="22">
        <f t="shared" si="4"/>
        <v>1395</v>
      </c>
      <c r="E43" s="21">
        <v>669</v>
      </c>
      <c r="F43" s="21">
        <v>216</v>
      </c>
      <c r="G43" s="22">
        <f t="shared" si="3"/>
        <v>885</v>
      </c>
      <c r="H43" s="21">
        <v>2075</v>
      </c>
      <c r="I43" s="22">
        <v>0</v>
      </c>
      <c r="J43" s="22">
        <f t="shared" si="5"/>
        <v>2075</v>
      </c>
      <c r="K43" s="21">
        <v>2</v>
      </c>
      <c r="L43" s="22">
        <f t="shared" si="6"/>
        <v>4357</v>
      </c>
      <c r="M43" s="21">
        <v>1155</v>
      </c>
      <c r="N43" s="22">
        <v>0</v>
      </c>
      <c r="O43" s="21">
        <v>35</v>
      </c>
      <c r="P43" s="24">
        <f t="shared" si="1"/>
        <v>1190</v>
      </c>
      <c r="Q43" s="21">
        <f t="shared" si="2"/>
        <v>5547</v>
      </c>
      <c r="R43" s="21">
        <v>49949</v>
      </c>
      <c r="S43" s="21">
        <f t="shared" si="0"/>
        <v>-44402</v>
      </c>
      <c r="T43" s="36" t="s">
        <v>32</v>
      </c>
    </row>
    <row r="44" spans="1:20" ht="30" hidden="1" customHeight="1" x14ac:dyDescent="0.25">
      <c r="A44" s="23" t="s">
        <v>35</v>
      </c>
      <c r="B44" s="21">
        <v>1815</v>
      </c>
      <c r="C44" s="111">
        <v>3827</v>
      </c>
      <c r="D44" s="22">
        <f t="shared" si="4"/>
        <v>5642</v>
      </c>
      <c r="E44" s="21">
        <v>2234</v>
      </c>
      <c r="F44" s="21">
        <v>45</v>
      </c>
      <c r="G44" s="22">
        <f t="shared" si="3"/>
        <v>2279</v>
      </c>
      <c r="H44" s="21">
        <v>7240</v>
      </c>
      <c r="I44" s="22">
        <v>0</v>
      </c>
      <c r="J44" s="22">
        <f t="shared" si="5"/>
        <v>7240</v>
      </c>
      <c r="K44" s="21">
        <v>73</v>
      </c>
      <c r="L44" s="22">
        <f t="shared" si="6"/>
        <v>15234</v>
      </c>
      <c r="M44" s="21">
        <v>3212</v>
      </c>
      <c r="N44" s="22">
        <v>0</v>
      </c>
      <c r="O44" s="21">
        <v>491</v>
      </c>
      <c r="P44" s="24">
        <f t="shared" si="1"/>
        <v>3703</v>
      </c>
      <c r="Q44" s="21">
        <f t="shared" si="2"/>
        <v>18937</v>
      </c>
      <c r="R44" s="21">
        <v>48849</v>
      </c>
      <c r="S44" s="21">
        <f t="shared" si="0"/>
        <v>-29912</v>
      </c>
      <c r="T44" s="36" t="s">
        <v>35</v>
      </c>
    </row>
    <row r="45" spans="1:20" ht="30" hidden="1" customHeight="1" x14ac:dyDescent="0.25">
      <c r="A45" s="23" t="s">
        <v>37</v>
      </c>
      <c r="B45" s="22">
        <v>3086</v>
      </c>
      <c r="C45" s="113">
        <v>3594</v>
      </c>
      <c r="D45" s="22">
        <f t="shared" si="4"/>
        <v>6680</v>
      </c>
      <c r="E45" s="22">
        <v>4546</v>
      </c>
      <c r="F45" s="22">
        <v>60</v>
      </c>
      <c r="G45" s="22">
        <f t="shared" si="3"/>
        <v>4606</v>
      </c>
      <c r="H45" s="22">
        <v>15486</v>
      </c>
      <c r="I45" s="22">
        <v>0</v>
      </c>
      <c r="J45" s="22">
        <f t="shared" si="5"/>
        <v>15486</v>
      </c>
      <c r="K45" s="22">
        <v>55</v>
      </c>
      <c r="L45" s="22">
        <f t="shared" si="6"/>
        <v>26827</v>
      </c>
      <c r="M45" s="22">
        <v>191</v>
      </c>
      <c r="N45" s="22">
        <v>0</v>
      </c>
      <c r="O45" s="22">
        <v>992</v>
      </c>
      <c r="P45" s="24">
        <f t="shared" si="1"/>
        <v>1183</v>
      </c>
      <c r="Q45" s="21">
        <f t="shared" si="2"/>
        <v>28010</v>
      </c>
      <c r="R45" s="22">
        <v>54826</v>
      </c>
      <c r="S45" s="21">
        <f t="shared" si="0"/>
        <v>-26816</v>
      </c>
      <c r="T45" s="36" t="s">
        <v>37</v>
      </c>
    </row>
    <row r="46" spans="1:20" ht="30" hidden="1" customHeight="1" x14ac:dyDescent="0.25">
      <c r="A46" s="23" t="s">
        <v>41</v>
      </c>
      <c r="B46" s="21">
        <v>3442</v>
      </c>
      <c r="C46" s="111">
        <v>4820</v>
      </c>
      <c r="D46" s="22">
        <f t="shared" si="4"/>
        <v>8262</v>
      </c>
      <c r="E46" s="21">
        <v>5030</v>
      </c>
      <c r="F46" s="21">
        <v>94</v>
      </c>
      <c r="G46" s="22">
        <f t="shared" si="3"/>
        <v>5124</v>
      </c>
      <c r="H46" s="21">
        <v>16173</v>
      </c>
      <c r="I46" s="22">
        <v>0</v>
      </c>
      <c r="J46" s="22">
        <f t="shared" si="5"/>
        <v>16173</v>
      </c>
      <c r="K46" s="21">
        <v>37</v>
      </c>
      <c r="L46" s="22">
        <f t="shared" si="6"/>
        <v>29596</v>
      </c>
      <c r="M46" s="21">
        <v>2424</v>
      </c>
      <c r="N46" s="22">
        <v>0</v>
      </c>
      <c r="O46" s="21">
        <v>1300</v>
      </c>
      <c r="P46" s="24">
        <f t="shared" si="1"/>
        <v>3724</v>
      </c>
      <c r="Q46" s="21">
        <f t="shared" si="2"/>
        <v>33320</v>
      </c>
      <c r="R46" s="21">
        <v>82316</v>
      </c>
      <c r="S46" s="21">
        <f t="shared" si="0"/>
        <v>-48996</v>
      </c>
      <c r="T46" s="36" t="s">
        <v>41</v>
      </c>
    </row>
    <row r="47" spans="1:20" ht="30" hidden="1" customHeight="1" x14ac:dyDescent="0.25">
      <c r="A47" s="23"/>
      <c r="B47" s="21"/>
      <c r="C47" s="111"/>
      <c r="D47" s="22">
        <f t="shared" si="4"/>
        <v>0</v>
      </c>
      <c r="E47" s="21"/>
      <c r="F47" s="21"/>
      <c r="G47" s="22">
        <f t="shared" si="3"/>
        <v>0</v>
      </c>
      <c r="H47" s="21"/>
      <c r="I47" s="22"/>
      <c r="J47" s="22">
        <f t="shared" si="5"/>
        <v>0</v>
      </c>
      <c r="K47" s="21"/>
      <c r="L47" s="22">
        <f t="shared" si="6"/>
        <v>0</v>
      </c>
      <c r="M47" s="21"/>
      <c r="N47" s="22"/>
      <c r="O47" s="21"/>
      <c r="P47" s="24">
        <f t="shared" si="1"/>
        <v>0</v>
      </c>
      <c r="Q47" s="21">
        <f t="shared" si="2"/>
        <v>0</v>
      </c>
      <c r="R47" s="21"/>
      <c r="S47" s="21">
        <f t="shared" ref="S47:S78" si="7">Q47-R47</f>
        <v>0</v>
      </c>
      <c r="T47" s="36"/>
    </row>
    <row r="48" spans="1:20" ht="30" hidden="1" customHeight="1" x14ac:dyDescent="0.25">
      <c r="A48" s="23">
        <v>2000</v>
      </c>
      <c r="B48" s="21"/>
      <c r="C48" s="111"/>
      <c r="D48" s="22">
        <f t="shared" si="4"/>
        <v>0</v>
      </c>
      <c r="E48" s="21"/>
      <c r="F48" s="21"/>
      <c r="G48" s="22">
        <f t="shared" si="3"/>
        <v>0</v>
      </c>
      <c r="H48" s="21"/>
      <c r="I48" s="21"/>
      <c r="J48" s="22">
        <f t="shared" si="5"/>
        <v>0</v>
      </c>
      <c r="K48" s="21"/>
      <c r="L48" s="22">
        <f t="shared" si="6"/>
        <v>0</v>
      </c>
      <c r="M48" s="21"/>
      <c r="N48" s="21"/>
      <c r="O48" s="21"/>
      <c r="P48" s="24">
        <f t="shared" si="1"/>
        <v>0</v>
      </c>
      <c r="Q48" s="21">
        <f t="shared" si="2"/>
        <v>0</v>
      </c>
      <c r="R48" s="21"/>
      <c r="S48" s="21">
        <f t="shared" si="7"/>
        <v>0</v>
      </c>
      <c r="T48" s="36">
        <v>2000</v>
      </c>
    </row>
    <row r="49" spans="1:20" ht="30" hidden="1" customHeight="1" x14ac:dyDescent="0.25">
      <c r="A49" s="23" t="s">
        <v>32</v>
      </c>
      <c r="B49" s="21">
        <v>2309</v>
      </c>
      <c r="C49" s="111">
        <v>4866</v>
      </c>
      <c r="D49" s="22">
        <f t="shared" si="4"/>
        <v>7175</v>
      </c>
      <c r="E49" s="21">
        <v>5648</v>
      </c>
      <c r="F49" s="21">
        <v>402</v>
      </c>
      <c r="G49" s="22">
        <f t="shared" si="3"/>
        <v>6050</v>
      </c>
      <c r="H49" s="21">
        <v>18612</v>
      </c>
      <c r="I49" s="22">
        <v>0</v>
      </c>
      <c r="J49" s="22">
        <f t="shared" si="5"/>
        <v>18612</v>
      </c>
      <c r="K49" s="21">
        <v>225</v>
      </c>
      <c r="L49" s="22">
        <f t="shared" si="6"/>
        <v>32062</v>
      </c>
      <c r="M49" s="21">
        <v>3107</v>
      </c>
      <c r="N49" s="22">
        <v>510</v>
      </c>
      <c r="O49" s="21">
        <v>1437</v>
      </c>
      <c r="P49" s="24">
        <f t="shared" si="1"/>
        <v>5054</v>
      </c>
      <c r="Q49" s="21">
        <f t="shared" si="2"/>
        <v>37116</v>
      </c>
      <c r="R49" s="21">
        <v>73027</v>
      </c>
      <c r="S49" s="21">
        <f t="shared" si="7"/>
        <v>-35911</v>
      </c>
      <c r="T49" s="36" t="s">
        <v>32</v>
      </c>
    </row>
    <row r="50" spans="1:20" ht="30" hidden="1" customHeight="1" x14ac:dyDescent="0.25">
      <c r="A50" s="23" t="s">
        <v>35</v>
      </c>
      <c r="B50" s="21">
        <v>4283</v>
      </c>
      <c r="C50" s="111">
        <v>7233</v>
      </c>
      <c r="D50" s="22">
        <f t="shared" si="4"/>
        <v>11516</v>
      </c>
      <c r="E50" s="21">
        <v>4436</v>
      </c>
      <c r="F50" s="21">
        <v>128</v>
      </c>
      <c r="G50" s="22">
        <f t="shared" si="3"/>
        <v>4564</v>
      </c>
      <c r="H50" s="21">
        <v>19555</v>
      </c>
      <c r="I50" s="22">
        <v>0</v>
      </c>
      <c r="J50" s="22">
        <f t="shared" si="5"/>
        <v>19555</v>
      </c>
      <c r="K50" s="21">
        <v>50</v>
      </c>
      <c r="L50" s="22">
        <f t="shared" si="6"/>
        <v>35685</v>
      </c>
      <c r="M50" s="21">
        <v>1034</v>
      </c>
      <c r="N50" s="22">
        <v>3802</v>
      </c>
      <c r="O50" s="21">
        <v>790</v>
      </c>
      <c r="P50" s="24">
        <f t="shared" ref="P50:P81" si="8">O50+N50+M50</f>
        <v>5626</v>
      </c>
      <c r="Q50" s="21">
        <f t="shared" si="2"/>
        <v>41311</v>
      </c>
      <c r="R50" s="21">
        <v>70629</v>
      </c>
      <c r="S50" s="21">
        <f t="shared" si="7"/>
        <v>-29318</v>
      </c>
      <c r="T50" s="36" t="s">
        <v>35</v>
      </c>
    </row>
    <row r="51" spans="1:20" ht="30" hidden="1" customHeight="1" x14ac:dyDescent="0.25">
      <c r="A51" s="23" t="s">
        <v>37</v>
      </c>
      <c r="B51" s="22">
        <v>6627</v>
      </c>
      <c r="C51" s="113">
        <v>6277</v>
      </c>
      <c r="D51" s="22">
        <f t="shared" si="4"/>
        <v>12904</v>
      </c>
      <c r="E51" s="22">
        <v>5022</v>
      </c>
      <c r="F51" s="22">
        <v>0</v>
      </c>
      <c r="G51" s="22">
        <f t="shared" si="3"/>
        <v>5022</v>
      </c>
      <c r="H51" s="22">
        <v>19312</v>
      </c>
      <c r="I51" s="22">
        <v>0</v>
      </c>
      <c r="J51" s="22">
        <f t="shared" si="5"/>
        <v>19312</v>
      </c>
      <c r="K51" s="22">
        <v>93</v>
      </c>
      <c r="L51" s="22">
        <f t="shared" si="6"/>
        <v>37331</v>
      </c>
      <c r="M51" s="22">
        <v>2152</v>
      </c>
      <c r="N51" s="22">
        <v>100</v>
      </c>
      <c r="O51" s="22">
        <v>996</v>
      </c>
      <c r="P51" s="24">
        <f t="shared" si="8"/>
        <v>3248</v>
      </c>
      <c r="Q51" s="21">
        <f t="shared" ref="Q51:Q82" si="9">P51+L51</f>
        <v>40579</v>
      </c>
      <c r="R51" s="22">
        <v>78338</v>
      </c>
      <c r="S51" s="21">
        <f t="shared" si="7"/>
        <v>-37759</v>
      </c>
      <c r="T51" s="36" t="s">
        <v>37</v>
      </c>
    </row>
    <row r="52" spans="1:20" ht="30" hidden="1" customHeight="1" x14ac:dyDescent="0.25">
      <c r="A52" s="23" t="s">
        <v>41</v>
      </c>
      <c r="B52" s="21">
        <v>2709</v>
      </c>
      <c r="C52" s="111">
        <v>4938</v>
      </c>
      <c r="D52" s="22">
        <f t="shared" si="4"/>
        <v>7647</v>
      </c>
      <c r="E52" s="21">
        <v>3869</v>
      </c>
      <c r="F52" s="21">
        <v>2</v>
      </c>
      <c r="G52" s="22">
        <f t="shared" ref="G52:G83" si="10">E52+F52</f>
        <v>3871</v>
      </c>
      <c r="H52" s="21">
        <v>18438</v>
      </c>
      <c r="I52" s="22">
        <v>0</v>
      </c>
      <c r="J52" s="22">
        <f t="shared" si="5"/>
        <v>18438</v>
      </c>
      <c r="K52" s="21">
        <v>128</v>
      </c>
      <c r="L52" s="22">
        <f t="shared" si="6"/>
        <v>30084</v>
      </c>
      <c r="M52" s="21">
        <v>1464</v>
      </c>
      <c r="N52" s="22">
        <v>200</v>
      </c>
      <c r="O52" s="21">
        <v>1420</v>
      </c>
      <c r="P52" s="24">
        <f t="shared" si="8"/>
        <v>3084</v>
      </c>
      <c r="Q52" s="21">
        <f t="shared" si="9"/>
        <v>33168</v>
      </c>
      <c r="R52" s="21">
        <v>79836</v>
      </c>
      <c r="S52" s="21">
        <f t="shared" si="7"/>
        <v>-46668</v>
      </c>
      <c r="T52" s="36" t="s">
        <v>41</v>
      </c>
    </row>
    <row r="53" spans="1:20" ht="30" hidden="1" customHeight="1" x14ac:dyDescent="0.25">
      <c r="A53" s="23"/>
      <c r="B53" s="21"/>
      <c r="C53" s="111"/>
      <c r="D53" s="22">
        <f t="shared" ref="D53:D84" si="11">B53+C53</f>
        <v>0</v>
      </c>
      <c r="E53" s="21"/>
      <c r="F53" s="21"/>
      <c r="G53" s="22">
        <f t="shared" si="10"/>
        <v>0</v>
      </c>
      <c r="H53" s="21"/>
      <c r="I53" s="22"/>
      <c r="J53" s="22">
        <f t="shared" ref="J53:J84" si="12">H53+I53</f>
        <v>0</v>
      </c>
      <c r="K53" s="21"/>
      <c r="L53" s="22">
        <f t="shared" ref="L53:L84" si="13">K53+J53+G53+D53</f>
        <v>0</v>
      </c>
      <c r="M53" s="21"/>
      <c r="N53" s="22"/>
      <c r="O53" s="21"/>
      <c r="P53" s="24">
        <f t="shared" si="8"/>
        <v>0</v>
      </c>
      <c r="Q53" s="21">
        <f t="shared" si="9"/>
        <v>0</v>
      </c>
      <c r="R53" s="21"/>
      <c r="S53" s="21">
        <f t="shared" si="7"/>
        <v>0</v>
      </c>
      <c r="T53" s="36"/>
    </row>
    <row r="54" spans="1:20" ht="30" hidden="1" customHeight="1" x14ac:dyDescent="0.25">
      <c r="A54" s="23">
        <v>2001</v>
      </c>
      <c r="B54" s="21"/>
      <c r="C54" s="111"/>
      <c r="D54" s="22">
        <f t="shared" si="11"/>
        <v>0</v>
      </c>
      <c r="E54" s="21"/>
      <c r="F54" s="21"/>
      <c r="G54" s="22">
        <f t="shared" si="10"/>
        <v>0</v>
      </c>
      <c r="H54" s="21"/>
      <c r="I54" s="22"/>
      <c r="J54" s="22">
        <f t="shared" si="12"/>
        <v>0</v>
      </c>
      <c r="K54" s="21"/>
      <c r="L54" s="22">
        <f t="shared" si="13"/>
        <v>0</v>
      </c>
      <c r="M54" s="21"/>
      <c r="N54" s="22"/>
      <c r="O54" s="21"/>
      <c r="P54" s="24">
        <f t="shared" si="8"/>
        <v>0</v>
      </c>
      <c r="Q54" s="21">
        <f t="shared" si="9"/>
        <v>0</v>
      </c>
      <c r="R54" s="21"/>
      <c r="S54" s="21">
        <f t="shared" si="7"/>
        <v>0</v>
      </c>
      <c r="T54" s="36">
        <v>2001</v>
      </c>
    </row>
    <row r="55" spans="1:20" ht="30" hidden="1" customHeight="1" x14ac:dyDescent="0.25">
      <c r="A55" s="23" t="s">
        <v>32</v>
      </c>
      <c r="B55" s="21">
        <v>4170</v>
      </c>
      <c r="C55" s="111">
        <v>8023</v>
      </c>
      <c r="D55" s="22">
        <f t="shared" si="11"/>
        <v>12193</v>
      </c>
      <c r="E55" s="21">
        <v>6878</v>
      </c>
      <c r="F55" s="21">
        <v>1668</v>
      </c>
      <c r="G55" s="22">
        <f t="shared" si="10"/>
        <v>8546</v>
      </c>
      <c r="H55" s="21">
        <v>20698</v>
      </c>
      <c r="I55" s="22">
        <v>0</v>
      </c>
      <c r="J55" s="22">
        <f t="shared" si="12"/>
        <v>20698</v>
      </c>
      <c r="K55" s="21">
        <v>144</v>
      </c>
      <c r="L55" s="22">
        <f t="shared" si="13"/>
        <v>41581</v>
      </c>
      <c r="M55" s="21">
        <v>1586</v>
      </c>
      <c r="N55" s="22">
        <v>0</v>
      </c>
      <c r="O55" s="21">
        <v>1682</v>
      </c>
      <c r="P55" s="24">
        <f t="shared" si="8"/>
        <v>3268</v>
      </c>
      <c r="Q55" s="21">
        <f t="shared" si="9"/>
        <v>44849</v>
      </c>
      <c r="R55" s="21">
        <v>71675</v>
      </c>
      <c r="S55" s="21">
        <f t="shared" si="7"/>
        <v>-26826</v>
      </c>
      <c r="T55" s="36" t="s">
        <v>32</v>
      </c>
    </row>
    <row r="56" spans="1:20" ht="30" hidden="1" customHeight="1" x14ac:dyDescent="0.25">
      <c r="A56" s="23" t="s">
        <v>35</v>
      </c>
      <c r="B56" s="21">
        <v>5456</v>
      </c>
      <c r="C56" s="111">
        <v>7219</v>
      </c>
      <c r="D56" s="22">
        <f t="shared" si="11"/>
        <v>12675</v>
      </c>
      <c r="E56" s="21">
        <v>7792</v>
      </c>
      <c r="F56" s="21">
        <v>1528</v>
      </c>
      <c r="G56" s="22">
        <f t="shared" si="10"/>
        <v>9320</v>
      </c>
      <c r="H56" s="21">
        <v>26965</v>
      </c>
      <c r="I56" s="22">
        <v>0</v>
      </c>
      <c r="J56" s="22">
        <f t="shared" si="12"/>
        <v>26965</v>
      </c>
      <c r="K56" s="21">
        <v>107</v>
      </c>
      <c r="L56" s="22">
        <f t="shared" si="13"/>
        <v>49067</v>
      </c>
      <c r="M56" s="21">
        <v>2183</v>
      </c>
      <c r="N56" s="22">
        <v>2478</v>
      </c>
      <c r="O56" s="21">
        <v>1811</v>
      </c>
      <c r="P56" s="24">
        <f t="shared" si="8"/>
        <v>6472</v>
      </c>
      <c r="Q56" s="21">
        <f t="shared" si="9"/>
        <v>55539</v>
      </c>
      <c r="R56" s="21">
        <v>77540</v>
      </c>
      <c r="S56" s="21">
        <f t="shared" si="7"/>
        <v>-22001</v>
      </c>
      <c r="T56" s="36" t="s">
        <v>35</v>
      </c>
    </row>
    <row r="57" spans="1:20" ht="30" hidden="1" customHeight="1" x14ac:dyDescent="0.25">
      <c r="A57" s="23" t="s">
        <v>37</v>
      </c>
      <c r="B57" s="21">
        <v>6498</v>
      </c>
      <c r="C57" s="111">
        <v>8075</v>
      </c>
      <c r="D57" s="22">
        <f t="shared" si="11"/>
        <v>14573</v>
      </c>
      <c r="E57" s="21">
        <v>5165</v>
      </c>
      <c r="F57" s="21">
        <v>1769</v>
      </c>
      <c r="G57" s="22">
        <f t="shared" si="10"/>
        <v>6934</v>
      </c>
      <c r="H57" s="21">
        <v>29262</v>
      </c>
      <c r="I57" s="22">
        <v>0</v>
      </c>
      <c r="J57" s="22">
        <f t="shared" si="12"/>
        <v>29262</v>
      </c>
      <c r="K57" s="21">
        <v>195</v>
      </c>
      <c r="L57" s="22">
        <f t="shared" si="13"/>
        <v>50964</v>
      </c>
      <c r="M57" s="21">
        <v>1436</v>
      </c>
      <c r="N57" s="22">
        <v>650</v>
      </c>
      <c r="O57" s="21">
        <v>1533</v>
      </c>
      <c r="P57" s="24">
        <f t="shared" si="8"/>
        <v>3619</v>
      </c>
      <c r="Q57" s="21">
        <f t="shared" si="9"/>
        <v>54583</v>
      </c>
      <c r="R57" s="21">
        <v>90736</v>
      </c>
      <c r="S57" s="21">
        <f t="shared" si="7"/>
        <v>-36153</v>
      </c>
      <c r="T57" s="36" t="s">
        <v>37</v>
      </c>
    </row>
    <row r="58" spans="1:20" ht="30" hidden="1" customHeight="1" x14ac:dyDescent="0.25">
      <c r="A58" s="23" t="s">
        <v>41</v>
      </c>
      <c r="B58" s="21">
        <v>3863</v>
      </c>
      <c r="C58" s="111">
        <v>10569</v>
      </c>
      <c r="D58" s="22">
        <f t="shared" si="11"/>
        <v>14432</v>
      </c>
      <c r="E58" s="21">
        <v>7200</v>
      </c>
      <c r="F58" s="21">
        <v>1705</v>
      </c>
      <c r="G58" s="22">
        <f t="shared" si="10"/>
        <v>8905</v>
      </c>
      <c r="H58" s="21">
        <v>27551</v>
      </c>
      <c r="I58" s="22">
        <v>0</v>
      </c>
      <c r="J58" s="22">
        <f t="shared" si="12"/>
        <v>27551</v>
      </c>
      <c r="K58" s="21">
        <v>245</v>
      </c>
      <c r="L58" s="22">
        <f t="shared" si="13"/>
        <v>51133</v>
      </c>
      <c r="M58" s="21">
        <v>799</v>
      </c>
      <c r="N58" s="22">
        <v>1</v>
      </c>
      <c r="O58" s="21">
        <v>1159</v>
      </c>
      <c r="P58" s="24">
        <f t="shared" si="8"/>
        <v>1959</v>
      </c>
      <c r="Q58" s="21">
        <f t="shared" si="9"/>
        <v>53092</v>
      </c>
      <c r="R58" s="21">
        <v>114989</v>
      </c>
      <c r="S58" s="21">
        <f t="shared" si="7"/>
        <v>-61897</v>
      </c>
      <c r="T58" s="36" t="s">
        <v>41</v>
      </c>
    </row>
    <row r="59" spans="1:20" ht="30" hidden="1" customHeight="1" x14ac:dyDescent="0.25">
      <c r="A59" s="23"/>
      <c r="B59" s="21"/>
      <c r="C59" s="111"/>
      <c r="D59" s="22">
        <f t="shared" si="11"/>
        <v>0</v>
      </c>
      <c r="E59" s="21"/>
      <c r="F59" s="21"/>
      <c r="G59" s="22">
        <f t="shared" si="10"/>
        <v>0</v>
      </c>
      <c r="H59" s="21"/>
      <c r="I59" s="22"/>
      <c r="J59" s="22">
        <f t="shared" si="12"/>
        <v>0</v>
      </c>
      <c r="K59" s="21"/>
      <c r="L59" s="22">
        <f t="shared" si="13"/>
        <v>0</v>
      </c>
      <c r="M59" s="21"/>
      <c r="N59" s="22"/>
      <c r="O59" s="21"/>
      <c r="P59" s="24">
        <f t="shared" si="8"/>
        <v>0</v>
      </c>
      <c r="Q59" s="21">
        <f t="shared" si="9"/>
        <v>0</v>
      </c>
      <c r="R59" s="21"/>
      <c r="S59" s="21">
        <f t="shared" si="7"/>
        <v>0</v>
      </c>
      <c r="T59" s="36"/>
    </row>
    <row r="60" spans="1:20" ht="30" hidden="1" customHeight="1" x14ac:dyDescent="0.25">
      <c r="A60" s="23">
        <v>2002</v>
      </c>
      <c r="B60" s="21"/>
      <c r="C60" s="111"/>
      <c r="D60" s="22">
        <f t="shared" si="11"/>
        <v>0</v>
      </c>
      <c r="E60" s="21"/>
      <c r="F60" s="21"/>
      <c r="G60" s="22">
        <f t="shared" si="10"/>
        <v>0</v>
      </c>
      <c r="H60" s="21"/>
      <c r="I60" s="22"/>
      <c r="J60" s="22">
        <f t="shared" si="12"/>
        <v>0</v>
      </c>
      <c r="K60" s="21"/>
      <c r="L60" s="22">
        <f t="shared" si="13"/>
        <v>0</v>
      </c>
      <c r="M60" s="21"/>
      <c r="N60" s="22"/>
      <c r="O60" s="21"/>
      <c r="P60" s="24">
        <f t="shared" si="8"/>
        <v>0</v>
      </c>
      <c r="Q60" s="21">
        <f t="shared" si="9"/>
        <v>0</v>
      </c>
      <c r="R60" s="21"/>
      <c r="S60" s="21">
        <f t="shared" si="7"/>
        <v>0</v>
      </c>
      <c r="T60" s="36">
        <v>2002</v>
      </c>
    </row>
    <row r="61" spans="1:20" ht="30" hidden="1" customHeight="1" x14ac:dyDescent="0.25">
      <c r="A61" s="23" t="s">
        <v>32</v>
      </c>
      <c r="B61" s="21">
        <v>8403</v>
      </c>
      <c r="C61" s="111">
        <v>8897</v>
      </c>
      <c r="D61" s="22">
        <f t="shared" si="11"/>
        <v>17300</v>
      </c>
      <c r="E61" s="21">
        <v>8516</v>
      </c>
      <c r="F61" s="21">
        <v>1575</v>
      </c>
      <c r="G61" s="22">
        <f t="shared" si="10"/>
        <v>10091</v>
      </c>
      <c r="H61" s="21">
        <v>27919</v>
      </c>
      <c r="I61" s="22">
        <v>0</v>
      </c>
      <c r="J61" s="22">
        <f t="shared" si="12"/>
        <v>27919</v>
      </c>
      <c r="K61" s="21">
        <v>124</v>
      </c>
      <c r="L61" s="22">
        <f t="shared" si="13"/>
        <v>55434</v>
      </c>
      <c r="M61" s="21">
        <v>1759</v>
      </c>
      <c r="N61" s="22">
        <v>1200</v>
      </c>
      <c r="O61" s="21">
        <v>1567</v>
      </c>
      <c r="P61" s="24">
        <f t="shared" si="8"/>
        <v>4526</v>
      </c>
      <c r="Q61" s="21">
        <f t="shared" si="9"/>
        <v>59960</v>
      </c>
      <c r="R61" s="21">
        <v>114054</v>
      </c>
      <c r="S61" s="21">
        <f t="shared" si="7"/>
        <v>-54094</v>
      </c>
      <c r="T61" s="36" t="s">
        <v>32</v>
      </c>
    </row>
    <row r="62" spans="1:20" ht="30" hidden="1" customHeight="1" x14ac:dyDescent="0.25">
      <c r="A62" s="23" t="s">
        <v>35</v>
      </c>
      <c r="B62" s="21">
        <v>7086</v>
      </c>
      <c r="C62" s="111">
        <v>8291</v>
      </c>
      <c r="D62" s="22">
        <f t="shared" si="11"/>
        <v>15377</v>
      </c>
      <c r="E62" s="21">
        <v>7591</v>
      </c>
      <c r="F62" s="21">
        <v>2341</v>
      </c>
      <c r="G62" s="22">
        <f t="shared" si="10"/>
        <v>9932</v>
      </c>
      <c r="H62" s="21">
        <v>28720</v>
      </c>
      <c r="I62" s="22">
        <v>0</v>
      </c>
      <c r="J62" s="22">
        <f t="shared" si="12"/>
        <v>28720</v>
      </c>
      <c r="K62" s="21">
        <v>299</v>
      </c>
      <c r="L62" s="22">
        <f t="shared" si="13"/>
        <v>54328</v>
      </c>
      <c r="M62" s="21">
        <v>2276</v>
      </c>
      <c r="N62" s="22">
        <v>477</v>
      </c>
      <c r="O62" s="21">
        <v>1908</v>
      </c>
      <c r="P62" s="24">
        <f t="shared" si="8"/>
        <v>4661</v>
      </c>
      <c r="Q62" s="21">
        <f t="shared" si="9"/>
        <v>58989</v>
      </c>
      <c r="R62" s="21">
        <v>102985</v>
      </c>
      <c r="S62" s="21">
        <f t="shared" si="7"/>
        <v>-43996</v>
      </c>
      <c r="T62" s="36" t="s">
        <v>35</v>
      </c>
    </row>
    <row r="63" spans="1:20" ht="30" hidden="1" customHeight="1" x14ac:dyDescent="0.25">
      <c r="A63" s="23" t="s">
        <v>37</v>
      </c>
      <c r="B63" s="21">
        <v>6320</v>
      </c>
      <c r="C63" s="111">
        <v>7157</v>
      </c>
      <c r="D63" s="22">
        <f t="shared" si="11"/>
        <v>13477</v>
      </c>
      <c r="E63" s="21">
        <v>7972</v>
      </c>
      <c r="F63" s="21">
        <v>1884</v>
      </c>
      <c r="G63" s="22">
        <f t="shared" si="10"/>
        <v>9856</v>
      </c>
      <c r="H63" s="21">
        <v>31953</v>
      </c>
      <c r="I63" s="22">
        <v>0</v>
      </c>
      <c r="J63" s="22">
        <f t="shared" si="12"/>
        <v>31953</v>
      </c>
      <c r="K63" s="21">
        <v>356</v>
      </c>
      <c r="L63" s="22">
        <f t="shared" si="13"/>
        <v>55642</v>
      </c>
      <c r="M63" s="21">
        <v>643</v>
      </c>
      <c r="N63" s="21">
        <v>0</v>
      </c>
      <c r="O63" s="21">
        <v>1657</v>
      </c>
      <c r="P63" s="24">
        <f t="shared" si="8"/>
        <v>2300</v>
      </c>
      <c r="Q63" s="21">
        <f t="shared" si="9"/>
        <v>57942</v>
      </c>
      <c r="R63" s="21">
        <v>105924</v>
      </c>
      <c r="S63" s="21">
        <f t="shared" si="7"/>
        <v>-47982</v>
      </c>
      <c r="T63" s="36" t="s">
        <v>37</v>
      </c>
    </row>
    <row r="64" spans="1:20" ht="30" hidden="1" customHeight="1" x14ac:dyDescent="0.25">
      <c r="A64" s="23" t="s">
        <v>41</v>
      </c>
      <c r="B64" s="21">
        <v>7310</v>
      </c>
      <c r="C64" s="111">
        <v>8180</v>
      </c>
      <c r="D64" s="22">
        <f t="shared" si="11"/>
        <v>15490</v>
      </c>
      <c r="E64" s="21">
        <v>8048</v>
      </c>
      <c r="F64" s="21">
        <v>1958</v>
      </c>
      <c r="G64" s="22">
        <f t="shared" si="10"/>
        <v>10006</v>
      </c>
      <c r="H64" s="21">
        <v>32111</v>
      </c>
      <c r="I64" s="22">
        <v>0</v>
      </c>
      <c r="J64" s="22">
        <f t="shared" si="12"/>
        <v>32111</v>
      </c>
      <c r="K64" s="21">
        <v>459</v>
      </c>
      <c r="L64" s="22">
        <f t="shared" si="13"/>
        <v>58066</v>
      </c>
      <c r="M64" s="21">
        <v>1939</v>
      </c>
      <c r="N64" s="21">
        <v>0</v>
      </c>
      <c r="O64" s="21">
        <v>1793</v>
      </c>
      <c r="P64" s="24">
        <f t="shared" si="8"/>
        <v>3732</v>
      </c>
      <c r="Q64" s="21">
        <f t="shared" si="9"/>
        <v>61798</v>
      </c>
      <c r="R64" s="21">
        <v>151864</v>
      </c>
      <c r="S64" s="21">
        <f t="shared" si="7"/>
        <v>-90066</v>
      </c>
      <c r="T64" s="36" t="s">
        <v>41</v>
      </c>
    </row>
    <row r="65" spans="1:20" ht="30" hidden="1" customHeight="1" x14ac:dyDescent="0.25">
      <c r="A65" s="23">
        <v>1998</v>
      </c>
      <c r="B65" s="22"/>
      <c r="C65" s="113"/>
      <c r="D65" s="22">
        <f t="shared" si="11"/>
        <v>0</v>
      </c>
      <c r="E65" s="22"/>
      <c r="F65" s="22"/>
      <c r="G65" s="22">
        <f t="shared" si="10"/>
        <v>0</v>
      </c>
      <c r="H65" s="22"/>
      <c r="I65" s="22"/>
      <c r="J65" s="22">
        <f t="shared" si="12"/>
        <v>0</v>
      </c>
      <c r="K65" s="22"/>
      <c r="L65" s="22">
        <f t="shared" si="13"/>
        <v>0</v>
      </c>
      <c r="M65" s="22"/>
      <c r="N65" s="22"/>
      <c r="O65" s="22"/>
      <c r="P65" s="24">
        <f t="shared" si="8"/>
        <v>0</v>
      </c>
      <c r="Q65" s="21">
        <f t="shared" si="9"/>
        <v>0</v>
      </c>
      <c r="R65" s="22"/>
      <c r="S65" s="21">
        <f t="shared" si="7"/>
        <v>0</v>
      </c>
      <c r="T65" s="36">
        <v>1998</v>
      </c>
    </row>
    <row r="66" spans="1:20" ht="30" hidden="1" customHeight="1" x14ac:dyDescent="0.25">
      <c r="A66" s="27" t="s">
        <v>30</v>
      </c>
      <c r="B66" s="22">
        <v>2</v>
      </c>
      <c r="C66" s="113">
        <v>23</v>
      </c>
      <c r="D66" s="22">
        <f t="shared" si="11"/>
        <v>25</v>
      </c>
      <c r="E66" s="22"/>
      <c r="F66" s="22">
        <v>4</v>
      </c>
      <c r="G66" s="22">
        <f t="shared" si="10"/>
        <v>4</v>
      </c>
      <c r="H66" s="22">
        <v>76</v>
      </c>
      <c r="I66" s="22">
        <v>0</v>
      </c>
      <c r="J66" s="22">
        <f t="shared" si="12"/>
        <v>76</v>
      </c>
      <c r="K66" s="22">
        <v>2</v>
      </c>
      <c r="L66" s="22">
        <f t="shared" si="13"/>
        <v>107</v>
      </c>
      <c r="M66" s="22">
        <v>45</v>
      </c>
      <c r="N66" s="22">
        <v>0</v>
      </c>
      <c r="O66" s="22">
        <v>14</v>
      </c>
      <c r="P66" s="24">
        <f t="shared" si="8"/>
        <v>59</v>
      </c>
      <c r="Q66" s="21">
        <f t="shared" si="9"/>
        <v>166</v>
      </c>
      <c r="R66" s="22">
        <v>2461</v>
      </c>
      <c r="S66" s="21">
        <f t="shared" si="7"/>
        <v>-2295</v>
      </c>
      <c r="T66" s="43" t="s">
        <v>30</v>
      </c>
    </row>
    <row r="67" spans="1:20" ht="30" hidden="1" customHeight="1" x14ac:dyDescent="0.25">
      <c r="A67" s="27" t="s">
        <v>31</v>
      </c>
      <c r="B67" s="22">
        <v>1</v>
      </c>
      <c r="C67" s="113">
        <v>27</v>
      </c>
      <c r="D67" s="22">
        <f t="shared" si="11"/>
        <v>28</v>
      </c>
      <c r="E67" s="22"/>
      <c r="F67" s="22">
        <v>4</v>
      </c>
      <c r="G67" s="22">
        <f t="shared" si="10"/>
        <v>4</v>
      </c>
      <c r="H67" s="22">
        <v>8</v>
      </c>
      <c r="I67" s="22">
        <v>0</v>
      </c>
      <c r="J67" s="22">
        <f t="shared" si="12"/>
        <v>8</v>
      </c>
      <c r="K67" s="22">
        <v>4</v>
      </c>
      <c r="L67" s="22">
        <f t="shared" si="13"/>
        <v>44</v>
      </c>
      <c r="M67" s="22">
        <v>4</v>
      </c>
      <c r="N67" s="22">
        <v>0</v>
      </c>
      <c r="O67" s="22">
        <v>2</v>
      </c>
      <c r="P67" s="24">
        <f t="shared" si="8"/>
        <v>6</v>
      </c>
      <c r="Q67" s="21">
        <f t="shared" si="9"/>
        <v>50</v>
      </c>
      <c r="R67" s="22">
        <v>3213</v>
      </c>
      <c r="S67" s="21">
        <f t="shared" si="7"/>
        <v>-3163</v>
      </c>
      <c r="T67" s="43" t="s">
        <v>31</v>
      </c>
    </row>
    <row r="68" spans="1:20" ht="30" hidden="1" customHeight="1" x14ac:dyDescent="0.25">
      <c r="A68" s="27" t="s">
        <v>3</v>
      </c>
      <c r="B68" s="22">
        <v>7</v>
      </c>
      <c r="C68" s="113">
        <v>50</v>
      </c>
      <c r="D68" s="22">
        <f t="shared" si="11"/>
        <v>57</v>
      </c>
      <c r="E68" s="22"/>
      <c r="F68" s="22">
        <v>3</v>
      </c>
      <c r="G68" s="22">
        <f t="shared" si="10"/>
        <v>3</v>
      </c>
      <c r="H68" s="22">
        <v>1107</v>
      </c>
      <c r="I68" s="22">
        <v>0</v>
      </c>
      <c r="J68" s="22">
        <f t="shared" si="12"/>
        <v>1107</v>
      </c>
      <c r="K68" s="22">
        <v>14</v>
      </c>
      <c r="L68" s="22">
        <f t="shared" si="13"/>
        <v>1181</v>
      </c>
      <c r="M68" s="22">
        <v>52</v>
      </c>
      <c r="N68" s="22">
        <v>0</v>
      </c>
      <c r="O68" s="22">
        <v>1</v>
      </c>
      <c r="P68" s="24">
        <f t="shared" si="8"/>
        <v>53</v>
      </c>
      <c r="Q68" s="21">
        <f t="shared" si="9"/>
        <v>1234</v>
      </c>
      <c r="R68" s="22">
        <v>6584</v>
      </c>
      <c r="S68" s="21">
        <f t="shared" si="7"/>
        <v>-5350</v>
      </c>
      <c r="T68" s="43" t="s">
        <v>3</v>
      </c>
    </row>
    <row r="69" spans="1:20" ht="30" hidden="1" customHeight="1" x14ac:dyDescent="0.25">
      <c r="A69" s="27" t="s">
        <v>33</v>
      </c>
      <c r="B69" s="22">
        <v>122</v>
      </c>
      <c r="C69" s="113">
        <v>96</v>
      </c>
      <c r="D69" s="22">
        <f t="shared" si="11"/>
        <v>218</v>
      </c>
      <c r="E69" s="22"/>
      <c r="F69" s="22">
        <v>2</v>
      </c>
      <c r="G69" s="22">
        <f t="shared" si="10"/>
        <v>2</v>
      </c>
      <c r="H69" s="22">
        <v>2797</v>
      </c>
      <c r="I69" s="22">
        <v>0</v>
      </c>
      <c r="J69" s="22">
        <f t="shared" si="12"/>
        <v>2797</v>
      </c>
      <c r="K69" s="22">
        <v>166</v>
      </c>
      <c r="L69" s="22">
        <f t="shared" si="13"/>
        <v>3183</v>
      </c>
      <c r="M69" s="22">
        <v>823</v>
      </c>
      <c r="N69" s="22">
        <v>0</v>
      </c>
      <c r="O69" s="22">
        <v>315</v>
      </c>
      <c r="P69" s="24">
        <f t="shared" si="8"/>
        <v>1138</v>
      </c>
      <c r="Q69" s="21">
        <f t="shared" si="9"/>
        <v>4321</v>
      </c>
      <c r="R69" s="22">
        <v>8027</v>
      </c>
      <c r="S69" s="21">
        <f t="shared" si="7"/>
        <v>-3706</v>
      </c>
      <c r="T69" s="43" t="s">
        <v>33</v>
      </c>
    </row>
    <row r="70" spans="1:20" ht="30" hidden="1" customHeight="1" x14ac:dyDescent="0.25">
      <c r="A70" s="27" t="s">
        <v>34</v>
      </c>
      <c r="B70" s="22">
        <v>118</v>
      </c>
      <c r="C70" s="113">
        <v>617</v>
      </c>
      <c r="D70" s="22">
        <f t="shared" si="11"/>
        <v>735</v>
      </c>
      <c r="E70" s="22"/>
      <c r="F70" s="22">
        <v>773</v>
      </c>
      <c r="G70" s="22">
        <f t="shared" si="10"/>
        <v>773</v>
      </c>
      <c r="H70" s="22">
        <v>2789</v>
      </c>
      <c r="I70" s="22">
        <v>0</v>
      </c>
      <c r="J70" s="22">
        <f t="shared" si="12"/>
        <v>2789</v>
      </c>
      <c r="K70" s="22">
        <v>143</v>
      </c>
      <c r="L70" s="22">
        <f t="shared" si="13"/>
        <v>4440</v>
      </c>
      <c r="M70" s="22">
        <v>361</v>
      </c>
      <c r="N70" s="22">
        <v>0</v>
      </c>
      <c r="O70" s="22">
        <v>341</v>
      </c>
      <c r="P70" s="24">
        <f t="shared" si="8"/>
        <v>702</v>
      </c>
      <c r="Q70" s="21">
        <f t="shared" si="9"/>
        <v>5142</v>
      </c>
      <c r="R70" s="22">
        <v>10047</v>
      </c>
      <c r="S70" s="21">
        <f t="shared" si="7"/>
        <v>-4905</v>
      </c>
      <c r="T70" s="43" t="s">
        <v>34</v>
      </c>
    </row>
    <row r="71" spans="1:20" ht="30" hidden="1" customHeight="1" x14ac:dyDescent="0.25">
      <c r="A71" s="27" t="s">
        <v>0</v>
      </c>
      <c r="B71" s="22">
        <v>207</v>
      </c>
      <c r="C71" s="113">
        <v>699</v>
      </c>
      <c r="D71" s="22">
        <f t="shared" si="11"/>
        <v>906</v>
      </c>
      <c r="E71" s="22"/>
      <c r="F71" s="22">
        <v>1280</v>
      </c>
      <c r="G71" s="22">
        <f t="shared" si="10"/>
        <v>1280</v>
      </c>
      <c r="H71" s="22">
        <v>3489</v>
      </c>
      <c r="I71" s="22">
        <v>0</v>
      </c>
      <c r="J71" s="22">
        <f t="shared" si="12"/>
        <v>3489</v>
      </c>
      <c r="K71" s="22">
        <v>440</v>
      </c>
      <c r="L71" s="22">
        <f t="shared" si="13"/>
        <v>6115</v>
      </c>
      <c r="M71" s="22">
        <v>551</v>
      </c>
      <c r="N71" s="22">
        <v>0</v>
      </c>
      <c r="O71" s="22">
        <v>340</v>
      </c>
      <c r="P71" s="24">
        <f t="shared" si="8"/>
        <v>891</v>
      </c>
      <c r="Q71" s="21">
        <f t="shared" si="9"/>
        <v>7006</v>
      </c>
      <c r="R71" s="22">
        <v>13217</v>
      </c>
      <c r="S71" s="21">
        <f t="shared" si="7"/>
        <v>-6211</v>
      </c>
      <c r="T71" s="43" t="s">
        <v>0</v>
      </c>
    </row>
    <row r="72" spans="1:20" ht="30" hidden="1" customHeight="1" x14ac:dyDescent="0.25">
      <c r="A72" s="27" t="s">
        <v>1</v>
      </c>
      <c r="B72" s="22">
        <v>566</v>
      </c>
      <c r="C72" s="113">
        <v>553</v>
      </c>
      <c r="D72" s="22">
        <f t="shared" si="11"/>
        <v>1119</v>
      </c>
      <c r="E72" s="22"/>
      <c r="F72" s="22">
        <v>623</v>
      </c>
      <c r="G72" s="22">
        <f t="shared" si="10"/>
        <v>623</v>
      </c>
      <c r="H72" s="22">
        <v>4956</v>
      </c>
      <c r="I72" s="22">
        <v>0</v>
      </c>
      <c r="J72" s="22">
        <f t="shared" si="12"/>
        <v>4956</v>
      </c>
      <c r="K72" s="22">
        <v>16</v>
      </c>
      <c r="L72" s="22">
        <f t="shared" si="13"/>
        <v>6714</v>
      </c>
      <c r="M72" s="22">
        <v>1006</v>
      </c>
      <c r="N72" s="22">
        <v>0</v>
      </c>
      <c r="O72" s="22">
        <v>124</v>
      </c>
      <c r="P72" s="24">
        <f t="shared" si="8"/>
        <v>1130</v>
      </c>
      <c r="Q72" s="21">
        <f t="shared" si="9"/>
        <v>7844</v>
      </c>
      <c r="R72" s="22">
        <v>9429</v>
      </c>
      <c r="S72" s="21">
        <f t="shared" si="7"/>
        <v>-1585</v>
      </c>
      <c r="T72" s="43" t="s">
        <v>1</v>
      </c>
    </row>
    <row r="73" spans="1:20" ht="30" hidden="1" customHeight="1" x14ac:dyDescent="0.25">
      <c r="A73" s="27" t="s">
        <v>2</v>
      </c>
      <c r="B73" s="22">
        <v>1062</v>
      </c>
      <c r="C73" s="113">
        <v>659</v>
      </c>
      <c r="D73" s="22">
        <f t="shared" si="11"/>
        <v>1721</v>
      </c>
      <c r="E73" s="22"/>
      <c r="F73" s="22">
        <v>160</v>
      </c>
      <c r="G73" s="22">
        <f t="shared" si="10"/>
        <v>160</v>
      </c>
      <c r="H73" s="22">
        <v>4924</v>
      </c>
      <c r="I73" s="22">
        <v>0</v>
      </c>
      <c r="J73" s="22">
        <f t="shared" si="12"/>
        <v>4924</v>
      </c>
      <c r="K73" s="22">
        <v>37</v>
      </c>
      <c r="L73" s="22">
        <f t="shared" si="13"/>
        <v>6842</v>
      </c>
      <c r="M73" s="22">
        <v>650</v>
      </c>
      <c r="N73" s="22">
        <v>0</v>
      </c>
      <c r="O73" s="22">
        <v>386</v>
      </c>
      <c r="P73" s="24">
        <f t="shared" si="8"/>
        <v>1036</v>
      </c>
      <c r="Q73" s="21">
        <f t="shared" si="9"/>
        <v>7878</v>
      </c>
      <c r="R73" s="22">
        <v>20358</v>
      </c>
      <c r="S73" s="21">
        <f t="shared" si="7"/>
        <v>-12480</v>
      </c>
      <c r="T73" s="43" t="s">
        <v>2</v>
      </c>
    </row>
    <row r="74" spans="1:20" ht="30" hidden="1" customHeight="1" x14ac:dyDescent="0.25">
      <c r="A74" s="27" t="s">
        <v>36</v>
      </c>
      <c r="B74" s="22">
        <v>618</v>
      </c>
      <c r="C74" s="113">
        <v>864</v>
      </c>
      <c r="D74" s="22">
        <f t="shared" si="11"/>
        <v>1482</v>
      </c>
      <c r="E74" s="22"/>
      <c r="F74" s="22">
        <v>307</v>
      </c>
      <c r="G74" s="22">
        <f t="shared" si="10"/>
        <v>307</v>
      </c>
      <c r="H74" s="22">
        <v>4666</v>
      </c>
      <c r="I74" s="22">
        <v>0</v>
      </c>
      <c r="J74" s="22">
        <f t="shared" si="12"/>
        <v>4666</v>
      </c>
      <c r="K74" s="22">
        <v>49</v>
      </c>
      <c r="L74" s="22">
        <f t="shared" si="13"/>
        <v>6504</v>
      </c>
      <c r="M74" s="22">
        <v>481</v>
      </c>
      <c r="N74" s="22">
        <v>0</v>
      </c>
      <c r="O74" s="22">
        <v>369</v>
      </c>
      <c r="P74" s="24">
        <f t="shared" si="8"/>
        <v>850</v>
      </c>
      <c r="Q74" s="21">
        <f t="shared" si="9"/>
        <v>7354</v>
      </c>
      <c r="R74" s="22">
        <v>14156</v>
      </c>
      <c r="S74" s="21">
        <f t="shared" si="7"/>
        <v>-6802</v>
      </c>
      <c r="T74" s="43" t="s">
        <v>36</v>
      </c>
    </row>
    <row r="75" spans="1:20" ht="30" hidden="1" customHeight="1" x14ac:dyDescent="0.25">
      <c r="A75" s="27" t="s">
        <v>38</v>
      </c>
      <c r="B75" s="22">
        <v>347</v>
      </c>
      <c r="C75" s="113">
        <v>587</v>
      </c>
      <c r="D75" s="22">
        <f t="shared" si="11"/>
        <v>934</v>
      </c>
      <c r="E75" s="22"/>
      <c r="F75" s="22">
        <v>178</v>
      </c>
      <c r="G75" s="22">
        <f t="shared" si="10"/>
        <v>178</v>
      </c>
      <c r="H75" s="22">
        <v>4592</v>
      </c>
      <c r="I75" s="22">
        <v>0</v>
      </c>
      <c r="J75" s="22">
        <f t="shared" si="12"/>
        <v>4592</v>
      </c>
      <c r="K75" s="22">
        <v>192</v>
      </c>
      <c r="L75" s="22">
        <f t="shared" si="13"/>
        <v>5896</v>
      </c>
      <c r="M75" s="22">
        <v>656</v>
      </c>
      <c r="N75" s="22">
        <v>0</v>
      </c>
      <c r="O75" s="22">
        <v>302</v>
      </c>
      <c r="P75" s="24">
        <f t="shared" si="8"/>
        <v>958</v>
      </c>
      <c r="Q75" s="21">
        <f t="shared" si="9"/>
        <v>6854</v>
      </c>
      <c r="R75" s="22">
        <v>20376</v>
      </c>
      <c r="S75" s="21">
        <f t="shared" si="7"/>
        <v>-13522</v>
      </c>
      <c r="T75" s="43" t="s">
        <v>38</v>
      </c>
    </row>
    <row r="76" spans="1:20" ht="30" hidden="1" customHeight="1" x14ac:dyDescent="0.25">
      <c r="A76" s="27" t="s">
        <v>39</v>
      </c>
      <c r="B76" s="22">
        <v>305</v>
      </c>
      <c r="C76" s="113">
        <v>852</v>
      </c>
      <c r="D76" s="22">
        <f t="shared" si="11"/>
        <v>1157</v>
      </c>
      <c r="E76" s="22"/>
      <c r="F76" s="22">
        <v>142</v>
      </c>
      <c r="G76" s="22">
        <f t="shared" si="10"/>
        <v>142</v>
      </c>
      <c r="H76" s="22">
        <v>4356</v>
      </c>
      <c r="I76" s="22">
        <v>0</v>
      </c>
      <c r="J76" s="22">
        <f t="shared" si="12"/>
        <v>4356</v>
      </c>
      <c r="K76" s="22">
        <v>13</v>
      </c>
      <c r="L76" s="22">
        <f t="shared" si="13"/>
        <v>5668</v>
      </c>
      <c r="M76" s="22">
        <v>1040</v>
      </c>
      <c r="N76" s="22">
        <v>0</v>
      </c>
      <c r="O76" s="22">
        <v>300</v>
      </c>
      <c r="P76" s="24">
        <f t="shared" si="8"/>
        <v>1340</v>
      </c>
      <c r="Q76" s="21">
        <f t="shared" si="9"/>
        <v>7008</v>
      </c>
      <c r="R76" s="22">
        <v>20601</v>
      </c>
      <c r="S76" s="21">
        <f t="shared" si="7"/>
        <v>-13593</v>
      </c>
      <c r="T76" s="43" t="s">
        <v>39</v>
      </c>
    </row>
    <row r="77" spans="1:20" ht="30" hidden="1" customHeight="1" x14ac:dyDescent="0.25">
      <c r="A77" s="27" t="s">
        <v>40</v>
      </c>
      <c r="B77" s="22">
        <v>3061</v>
      </c>
      <c r="C77" s="113">
        <v>792</v>
      </c>
      <c r="D77" s="22">
        <f t="shared" si="11"/>
        <v>3853</v>
      </c>
      <c r="E77" s="22"/>
      <c r="F77" s="22">
        <v>257</v>
      </c>
      <c r="G77" s="22">
        <f t="shared" si="10"/>
        <v>257</v>
      </c>
      <c r="H77" s="22">
        <v>3900</v>
      </c>
      <c r="I77" s="22">
        <v>0</v>
      </c>
      <c r="J77" s="22">
        <f t="shared" si="12"/>
        <v>3900</v>
      </c>
      <c r="K77" s="22">
        <v>11</v>
      </c>
      <c r="L77" s="22">
        <f t="shared" si="13"/>
        <v>8021</v>
      </c>
      <c r="M77" s="22">
        <v>941</v>
      </c>
      <c r="N77" s="22">
        <v>0</v>
      </c>
      <c r="O77" s="22">
        <v>367</v>
      </c>
      <c r="P77" s="24">
        <f t="shared" si="8"/>
        <v>1308</v>
      </c>
      <c r="Q77" s="21">
        <f t="shared" si="9"/>
        <v>9329</v>
      </c>
      <c r="R77" s="22">
        <v>20958</v>
      </c>
      <c r="S77" s="21">
        <f t="shared" si="7"/>
        <v>-11629</v>
      </c>
      <c r="T77" s="43" t="s">
        <v>40</v>
      </c>
    </row>
    <row r="78" spans="1:20" ht="30" hidden="1" customHeight="1" x14ac:dyDescent="0.25">
      <c r="A78" s="27"/>
      <c r="B78" s="22"/>
      <c r="C78" s="113"/>
      <c r="D78" s="22">
        <f t="shared" si="11"/>
        <v>0</v>
      </c>
      <c r="E78" s="22"/>
      <c r="F78" s="22"/>
      <c r="G78" s="22">
        <f t="shared" si="10"/>
        <v>0</v>
      </c>
      <c r="H78" s="22"/>
      <c r="I78" s="22"/>
      <c r="J78" s="22">
        <f t="shared" si="12"/>
        <v>0</v>
      </c>
      <c r="K78" s="22"/>
      <c r="L78" s="22">
        <f t="shared" si="13"/>
        <v>0</v>
      </c>
      <c r="M78" s="22"/>
      <c r="N78" s="22"/>
      <c r="O78" s="22"/>
      <c r="P78" s="24">
        <f t="shared" si="8"/>
        <v>0</v>
      </c>
      <c r="Q78" s="21">
        <f t="shared" si="9"/>
        <v>0</v>
      </c>
      <c r="R78" s="22"/>
      <c r="S78" s="21">
        <f t="shared" si="7"/>
        <v>0</v>
      </c>
      <c r="T78" s="43"/>
    </row>
    <row r="79" spans="1:20" ht="30" hidden="1" customHeight="1" x14ac:dyDescent="0.25">
      <c r="A79" s="23">
        <v>1999</v>
      </c>
      <c r="B79" s="20"/>
      <c r="C79" s="114"/>
      <c r="D79" s="22">
        <f t="shared" si="11"/>
        <v>0</v>
      </c>
      <c r="E79" s="20"/>
      <c r="F79" s="20"/>
      <c r="G79" s="22">
        <f t="shared" si="10"/>
        <v>0</v>
      </c>
      <c r="H79" s="20"/>
      <c r="I79" s="20"/>
      <c r="J79" s="22">
        <f t="shared" si="12"/>
        <v>0</v>
      </c>
      <c r="K79" s="20"/>
      <c r="L79" s="22">
        <f t="shared" si="13"/>
        <v>0</v>
      </c>
      <c r="M79" s="20"/>
      <c r="N79" s="20"/>
      <c r="O79" s="20"/>
      <c r="P79" s="24">
        <f t="shared" si="8"/>
        <v>0</v>
      </c>
      <c r="Q79" s="21">
        <f t="shared" si="9"/>
        <v>0</v>
      </c>
      <c r="R79" s="20"/>
      <c r="S79" s="21">
        <f t="shared" ref="S79:S110" si="14">Q79-R79</f>
        <v>0</v>
      </c>
      <c r="T79" s="36">
        <v>1999</v>
      </c>
    </row>
    <row r="80" spans="1:20" ht="30" hidden="1" customHeight="1" x14ac:dyDescent="0.25">
      <c r="A80" s="27" t="s">
        <v>30</v>
      </c>
      <c r="B80" s="22">
        <v>8</v>
      </c>
      <c r="C80" s="113">
        <v>857</v>
      </c>
      <c r="D80" s="22">
        <f t="shared" si="11"/>
        <v>865</v>
      </c>
      <c r="E80" s="22"/>
      <c r="F80" s="22">
        <v>10</v>
      </c>
      <c r="G80" s="22">
        <f t="shared" si="10"/>
        <v>10</v>
      </c>
      <c r="H80" s="22">
        <v>268</v>
      </c>
      <c r="I80" s="22">
        <v>0</v>
      </c>
      <c r="J80" s="22">
        <f t="shared" si="12"/>
        <v>268</v>
      </c>
      <c r="K80" s="22">
        <v>0</v>
      </c>
      <c r="L80" s="22">
        <f t="shared" si="13"/>
        <v>1143</v>
      </c>
      <c r="M80" s="22">
        <v>10</v>
      </c>
      <c r="N80" s="22">
        <v>0</v>
      </c>
      <c r="O80" s="22">
        <v>3</v>
      </c>
      <c r="P80" s="24">
        <f t="shared" si="8"/>
        <v>13</v>
      </c>
      <c r="Q80" s="21">
        <f t="shared" si="9"/>
        <v>1156</v>
      </c>
      <c r="R80" s="22">
        <v>8994</v>
      </c>
      <c r="S80" s="21">
        <f t="shared" si="14"/>
        <v>-7838</v>
      </c>
      <c r="T80" s="75" t="s">
        <v>30</v>
      </c>
    </row>
    <row r="81" spans="1:20" ht="30" hidden="1" customHeight="1" x14ac:dyDescent="0.25">
      <c r="A81" s="27" t="s">
        <v>31</v>
      </c>
      <c r="B81" s="22">
        <v>17</v>
      </c>
      <c r="C81" s="113">
        <v>231</v>
      </c>
      <c r="D81" s="22">
        <f t="shared" si="11"/>
        <v>248</v>
      </c>
      <c r="E81" s="22"/>
      <c r="F81" s="22">
        <v>27</v>
      </c>
      <c r="G81" s="22">
        <f t="shared" si="10"/>
        <v>27</v>
      </c>
      <c r="H81" s="22">
        <v>591</v>
      </c>
      <c r="I81" s="22">
        <v>0</v>
      </c>
      <c r="J81" s="22">
        <f t="shared" si="12"/>
        <v>591</v>
      </c>
      <c r="K81" s="22">
        <v>0</v>
      </c>
      <c r="L81" s="22">
        <f t="shared" si="13"/>
        <v>866</v>
      </c>
      <c r="M81" s="22">
        <v>721</v>
      </c>
      <c r="N81" s="22">
        <v>0</v>
      </c>
      <c r="O81" s="22">
        <v>12</v>
      </c>
      <c r="P81" s="24">
        <f t="shared" si="8"/>
        <v>733</v>
      </c>
      <c r="Q81" s="21">
        <f t="shared" si="9"/>
        <v>1599</v>
      </c>
      <c r="R81" s="22">
        <v>17884</v>
      </c>
      <c r="S81" s="21">
        <f t="shared" si="14"/>
        <v>-16285</v>
      </c>
      <c r="T81" s="75" t="s">
        <v>31</v>
      </c>
    </row>
    <row r="82" spans="1:20" ht="30" hidden="1" customHeight="1" x14ac:dyDescent="0.25">
      <c r="A82" s="27" t="s">
        <v>3</v>
      </c>
      <c r="B82" s="22">
        <v>62</v>
      </c>
      <c r="C82" s="113">
        <v>220</v>
      </c>
      <c r="D82" s="22">
        <f t="shared" si="11"/>
        <v>282</v>
      </c>
      <c r="E82" s="22"/>
      <c r="F82" s="22">
        <v>179</v>
      </c>
      <c r="G82" s="22">
        <f t="shared" si="10"/>
        <v>179</v>
      </c>
      <c r="H82" s="22">
        <v>1216</v>
      </c>
      <c r="I82" s="22">
        <v>0</v>
      </c>
      <c r="J82" s="22">
        <f t="shared" si="12"/>
        <v>1216</v>
      </c>
      <c r="K82" s="22">
        <v>2</v>
      </c>
      <c r="L82" s="22">
        <f t="shared" si="13"/>
        <v>1679</v>
      </c>
      <c r="M82" s="22">
        <v>424</v>
      </c>
      <c r="N82" s="22">
        <v>0</v>
      </c>
      <c r="O82" s="22">
        <v>20</v>
      </c>
      <c r="P82" s="24">
        <f t="shared" ref="P82:P114" si="15">O82+N82+M82</f>
        <v>444</v>
      </c>
      <c r="Q82" s="21">
        <f t="shared" si="9"/>
        <v>2123</v>
      </c>
      <c r="R82" s="22">
        <v>23071</v>
      </c>
      <c r="S82" s="21">
        <f t="shared" si="14"/>
        <v>-20948</v>
      </c>
      <c r="T82" s="75" t="s">
        <v>3</v>
      </c>
    </row>
    <row r="83" spans="1:20" ht="30" hidden="1" customHeight="1" x14ac:dyDescent="0.25">
      <c r="A83" s="27" t="s">
        <v>33</v>
      </c>
      <c r="B83" s="22">
        <v>270</v>
      </c>
      <c r="C83" s="113">
        <v>1532</v>
      </c>
      <c r="D83" s="22">
        <f t="shared" si="11"/>
        <v>1802</v>
      </c>
      <c r="E83" s="22"/>
      <c r="F83" s="22">
        <v>6</v>
      </c>
      <c r="G83" s="22">
        <f t="shared" si="10"/>
        <v>6</v>
      </c>
      <c r="H83" s="22">
        <v>1706</v>
      </c>
      <c r="I83" s="22">
        <v>0</v>
      </c>
      <c r="J83" s="22">
        <f t="shared" si="12"/>
        <v>1706</v>
      </c>
      <c r="K83" s="22">
        <v>18</v>
      </c>
      <c r="L83" s="22">
        <f t="shared" si="13"/>
        <v>3532</v>
      </c>
      <c r="M83" s="22">
        <v>891</v>
      </c>
      <c r="N83" s="22">
        <v>0</v>
      </c>
      <c r="O83" s="22">
        <v>292</v>
      </c>
      <c r="P83" s="24">
        <f t="shared" si="15"/>
        <v>1183</v>
      </c>
      <c r="Q83" s="21">
        <f t="shared" ref="Q83:Q115" si="16">P83+L83</f>
        <v>4715</v>
      </c>
      <c r="R83" s="22">
        <v>10903</v>
      </c>
      <c r="S83" s="21">
        <f t="shared" si="14"/>
        <v>-6188</v>
      </c>
      <c r="T83" s="75" t="s">
        <v>33</v>
      </c>
    </row>
    <row r="84" spans="1:20" ht="30" hidden="1" customHeight="1" x14ac:dyDescent="0.25">
      <c r="A84" s="27" t="s">
        <v>34</v>
      </c>
      <c r="B84" s="22">
        <v>87</v>
      </c>
      <c r="C84" s="113">
        <v>1123</v>
      </c>
      <c r="D84" s="22">
        <f t="shared" si="11"/>
        <v>1210</v>
      </c>
      <c r="E84" s="22"/>
      <c r="F84" s="22">
        <v>20</v>
      </c>
      <c r="G84" s="22">
        <f t="shared" ref="G84:G116" si="17">E84+F84</f>
        <v>20</v>
      </c>
      <c r="H84" s="22">
        <v>2341</v>
      </c>
      <c r="I84" s="22">
        <v>0</v>
      </c>
      <c r="J84" s="22">
        <f t="shared" si="12"/>
        <v>2341</v>
      </c>
      <c r="K84" s="22">
        <v>12</v>
      </c>
      <c r="L84" s="22">
        <f t="shared" si="13"/>
        <v>3583</v>
      </c>
      <c r="M84" s="22">
        <v>265</v>
      </c>
      <c r="N84" s="22">
        <v>0</v>
      </c>
      <c r="O84" s="22">
        <v>62</v>
      </c>
      <c r="P84" s="24">
        <f t="shared" si="15"/>
        <v>327</v>
      </c>
      <c r="Q84" s="21">
        <f t="shared" si="16"/>
        <v>3910</v>
      </c>
      <c r="R84" s="22">
        <v>17196</v>
      </c>
      <c r="S84" s="21">
        <f t="shared" si="14"/>
        <v>-13286</v>
      </c>
      <c r="T84" s="75" t="s">
        <v>34</v>
      </c>
    </row>
    <row r="85" spans="1:20" ht="30" hidden="1" customHeight="1" x14ac:dyDescent="0.25">
      <c r="A85" s="27" t="s">
        <v>0</v>
      </c>
      <c r="B85" s="22">
        <v>1458</v>
      </c>
      <c r="C85" s="113">
        <v>1172</v>
      </c>
      <c r="D85" s="22">
        <f t="shared" ref="D85:D117" si="18">B85+C85</f>
        <v>2630</v>
      </c>
      <c r="E85" s="22"/>
      <c r="F85" s="22">
        <v>19</v>
      </c>
      <c r="G85" s="22">
        <f t="shared" si="17"/>
        <v>19</v>
      </c>
      <c r="H85" s="22">
        <v>3193</v>
      </c>
      <c r="I85" s="22">
        <v>0</v>
      </c>
      <c r="J85" s="22">
        <f t="shared" ref="J85:J117" si="19">H85+I85</f>
        <v>3193</v>
      </c>
      <c r="K85" s="22">
        <v>43</v>
      </c>
      <c r="L85" s="22">
        <f t="shared" ref="L85:L117" si="20">K85+J85+G85+D85</f>
        <v>5885</v>
      </c>
      <c r="M85" s="22">
        <v>2056</v>
      </c>
      <c r="N85" s="22">
        <v>0</v>
      </c>
      <c r="O85" s="22">
        <v>137</v>
      </c>
      <c r="P85" s="24">
        <f t="shared" si="15"/>
        <v>2193</v>
      </c>
      <c r="Q85" s="21">
        <f t="shared" si="16"/>
        <v>8078</v>
      </c>
      <c r="R85" s="22">
        <v>20750</v>
      </c>
      <c r="S85" s="21">
        <f t="shared" si="14"/>
        <v>-12672</v>
      </c>
      <c r="T85" s="75" t="s">
        <v>0</v>
      </c>
    </row>
    <row r="86" spans="1:20" ht="30" hidden="1" customHeight="1" x14ac:dyDescent="0.25">
      <c r="A86" s="27" t="s">
        <v>1</v>
      </c>
      <c r="B86" s="26">
        <v>800</v>
      </c>
      <c r="C86" s="115">
        <v>1430</v>
      </c>
      <c r="D86" s="22">
        <f t="shared" si="18"/>
        <v>2230</v>
      </c>
      <c r="E86" s="22"/>
      <c r="F86" s="22">
        <v>18</v>
      </c>
      <c r="G86" s="22">
        <f t="shared" si="17"/>
        <v>18</v>
      </c>
      <c r="H86" s="22">
        <v>4486</v>
      </c>
      <c r="I86" s="22">
        <v>0</v>
      </c>
      <c r="J86" s="22">
        <f t="shared" si="19"/>
        <v>4486</v>
      </c>
      <c r="K86" s="22">
        <v>13</v>
      </c>
      <c r="L86" s="22">
        <f t="shared" si="20"/>
        <v>6747</v>
      </c>
      <c r="M86" s="22">
        <v>-407</v>
      </c>
      <c r="N86" s="22">
        <v>0</v>
      </c>
      <c r="O86" s="22">
        <v>351</v>
      </c>
      <c r="P86" s="24">
        <f t="shared" si="15"/>
        <v>-56</v>
      </c>
      <c r="Q86" s="21">
        <f t="shared" si="16"/>
        <v>6691</v>
      </c>
      <c r="R86" s="22">
        <v>16565</v>
      </c>
      <c r="S86" s="21">
        <f t="shared" si="14"/>
        <v>-9874</v>
      </c>
      <c r="T86" s="43" t="s">
        <v>1</v>
      </c>
    </row>
    <row r="87" spans="1:20" ht="30" hidden="1" customHeight="1" x14ac:dyDescent="0.25">
      <c r="A87" s="27" t="s">
        <v>2</v>
      </c>
      <c r="B87" s="22">
        <v>645</v>
      </c>
      <c r="C87" s="113">
        <v>1121</v>
      </c>
      <c r="D87" s="22">
        <f t="shared" si="18"/>
        <v>1766</v>
      </c>
      <c r="E87" s="22"/>
      <c r="F87" s="22">
        <v>19</v>
      </c>
      <c r="G87" s="22">
        <f t="shared" si="17"/>
        <v>19</v>
      </c>
      <c r="H87" s="22">
        <v>4739</v>
      </c>
      <c r="I87" s="22">
        <v>0</v>
      </c>
      <c r="J87" s="22">
        <f t="shared" si="19"/>
        <v>4739</v>
      </c>
      <c r="K87" s="22">
        <v>37</v>
      </c>
      <c r="L87" s="22">
        <f t="shared" si="20"/>
        <v>6561</v>
      </c>
      <c r="M87" s="22">
        <v>328</v>
      </c>
      <c r="N87" s="22">
        <v>0</v>
      </c>
      <c r="O87" s="22">
        <v>317</v>
      </c>
      <c r="P87" s="24">
        <f t="shared" si="15"/>
        <v>645</v>
      </c>
      <c r="Q87" s="21">
        <f t="shared" si="16"/>
        <v>7206</v>
      </c>
      <c r="R87" s="22">
        <v>17652</v>
      </c>
      <c r="S87" s="21">
        <f t="shared" si="14"/>
        <v>-10446</v>
      </c>
      <c r="T87" s="43" t="s">
        <v>2</v>
      </c>
    </row>
    <row r="88" spans="1:20" ht="30" hidden="1" customHeight="1" x14ac:dyDescent="0.25">
      <c r="A88" s="27" t="s">
        <v>36</v>
      </c>
      <c r="B88" s="22">
        <v>1641</v>
      </c>
      <c r="C88" s="113">
        <v>1043</v>
      </c>
      <c r="D88" s="22">
        <f t="shared" si="18"/>
        <v>2684</v>
      </c>
      <c r="E88" s="22"/>
      <c r="F88" s="22">
        <v>23</v>
      </c>
      <c r="G88" s="22">
        <f t="shared" si="17"/>
        <v>23</v>
      </c>
      <c r="H88" s="22">
        <v>6261</v>
      </c>
      <c r="I88" s="22">
        <v>0</v>
      </c>
      <c r="J88" s="22">
        <f t="shared" si="19"/>
        <v>6261</v>
      </c>
      <c r="K88" s="22">
        <v>5</v>
      </c>
      <c r="L88" s="22">
        <f t="shared" si="20"/>
        <v>8973</v>
      </c>
      <c r="M88" s="22">
        <v>270</v>
      </c>
      <c r="N88" s="22">
        <v>0</v>
      </c>
      <c r="O88" s="22">
        <v>324</v>
      </c>
      <c r="P88" s="24">
        <f t="shared" si="15"/>
        <v>594</v>
      </c>
      <c r="Q88" s="21">
        <f t="shared" si="16"/>
        <v>9567</v>
      </c>
      <c r="R88" s="22">
        <v>20609</v>
      </c>
      <c r="S88" s="21">
        <f t="shared" si="14"/>
        <v>-11042</v>
      </c>
      <c r="T88" s="43" t="s">
        <v>36</v>
      </c>
    </row>
    <row r="89" spans="1:20" ht="30" hidden="1" customHeight="1" x14ac:dyDescent="0.25">
      <c r="A89" s="27" t="s">
        <v>38</v>
      </c>
      <c r="B89" s="22">
        <v>128</v>
      </c>
      <c r="C89" s="113">
        <v>1275</v>
      </c>
      <c r="D89" s="22">
        <f t="shared" si="18"/>
        <v>1403</v>
      </c>
      <c r="E89" s="22"/>
      <c r="F89" s="22">
        <v>44</v>
      </c>
      <c r="G89" s="22">
        <f t="shared" si="17"/>
        <v>44</v>
      </c>
      <c r="H89" s="22">
        <v>4583</v>
      </c>
      <c r="I89" s="22">
        <v>0</v>
      </c>
      <c r="J89" s="22">
        <f t="shared" si="19"/>
        <v>4583</v>
      </c>
      <c r="K89" s="22">
        <v>9</v>
      </c>
      <c r="L89" s="22">
        <f t="shared" si="20"/>
        <v>6039</v>
      </c>
      <c r="M89" s="22">
        <v>356</v>
      </c>
      <c r="N89" s="22">
        <v>0</v>
      </c>
      <c r="O89" s="22">
        <v>489</v>
      </c>
      <c r="P89" s="24">
        <f t="shared" si="15"/>
        <v>845</v>
      </c>
      <c r="Q89" s="21">
        <f t="shared" si="16"/>
        <v>6884</v>
      </c>
      <c r="R89" s="22">
        <v>13926</v>
      </c>
      <c r="S89" s="21">
        <f t="shared" si="14"/>
        <v>-7042</v>
      </c>
      <c r="T89" s="43" t="s">
        <v>38</v>
      </c>
    </row>
    <row r="90" spans="1:20" ht="30" hidden="1" customHeight="1" x14ac:dyDescent="0.25">
      <c r="A90" s="28" t="s">
        <v>39</v>
      </c>
      <c r="B90" s="29">
        <v>914</v>
      </c>
      <c r="C90" s="116">
        <v>1649</v>
      </c>
      <c r="D90" s="22">
        <f t="shared" si="18"/>
        <v>2563</v>
      </c>
      <c r="E90" s="29"/>
      <c r="F90" s="29">
        <v>31</v>
      </c>
      <c r="G90" s="22">
        <f t="shared" si="17"/>
        <v>31</v>
      </c>
      <c r="H90" s="29">
        <v>4356</v>
      </c>
      <c r="I90" s="29">
        <v>0</v>
      </c>
      <c r="J90" s="22">
        <f t="shared" si="19"/>
        <v>4356</v>
      </c>
      <c r="K90" s="29">
        <v>21</v>
      </c>
      <c r="L90" s="22">
        <f t="shared" si="20"/>
        <v>6971</v>
      </c>
      <c r="M90" s="29">
        <v>940</v>
      </c>
      <c r="N90" s="22">
        <v>0</v>
      </c>
      <c r="O90" s="29">
        <v>381</v>
      </c>
      <c r="P90" s="24">
        <f t="shared" si="15"/>
        <v>1321</v>
      </c>
      <c r="Q90" s="21">
        <f t="shared" si="16"/>
        <v>8292</v>
      </c>
      <c r="R90" s="29">
        <v>20467</v>
      </c>
      <c r="S90" s="21">
        <f t="shared" si="14"/>
        <v>-12175</v>
      </c>
      <c r="T90" s="76" t="s">
        <v>39</v>
      </c>
    </row>
    <row r="91" spans="1:20" ht="30" hidden="1" customHeight="1" x14ac:dyDescent="0.25">
      <c r="A91" s="28" t="s">
        <v>40</v>
      </c>
      <c r="B91" s="30">
        <v>2400</v>
      </c>
      <c r="C91" s="117">
        <v>1896</v>
      </c>
      <c r="D91" s="22">
        <f t="shared" si="18"/>
        <v>4296</v>
      </c>
      <c r="E91" s="30"/>
      <c r="F91" s="30">
        <v>19</v>
      </c>
      <c r="G91" s="22">
        <f t="shared" si="17"/>
        <v>19</v>
      </c>
      <c r="H91" s="32">
        <v>7234</v>
      </c>
      <c r="I91" s="29">
        <v>0</v>
      </c>
      <c r="J91" s="22">
        <f t="shared" si="19"/>
        <v>7234</v>
      </c>
      <c r="K91" s="30">
        <v>7</v>
      </c>
      <c r="L91" s="22">
        <f t="shared" si="20"/>
        <v>11556</v>
      </c>
      <c r="M91" s="30">
        <v>1128</v>
      </c>
      <c r="N91" s="22">
        <v>0</v>
      </c>
      <c r="O91" s="30">
        <v>430</v>
      </c>
      <c r="P91" s="24">
        <f t="shared" si="15"/>
        <v>1558</v>
      </c>
      <c r="Q91" s="21">
        <f t="shared" si="16"/>
        <v>13114</v>
      </c>
      <c r="R91" s="30">
        <v>47923</v>
      </c>
      <c r="S91" s="21">
        <f t="shared" si="14"/>
        <v>-34809</v>
      </c>
      <c r="T91" s="76" t="s">
        <v>40</v>
      </c>
    </row>
    <row r="92" spans="1:20" ht="30" hidden="1" customHeight="1" x14ac:dyDescent="0.25">
      <c r="A92" s="28"/>
      <c r="B92" s="30"/>
      <c r="C92" s="117"/>
      <c r="D92" s="22">
        <f t="shared" si="18"/>
        <v>0</v>
      </c>
      <c r="E92" s="30"/>
      <c r="F92" s="30"/>
      <c r="G92" s="22">
        <f t="shared" si="17"/>
        <v>0</v>
      </c>
      <c r="H92" s="32"/>
      <c r="I92" s="29"/>
      <c r="J92" s="22">
        <f t="shared" si="19"/>
        <v>0</v>
      </c>
      <c r="K92" s="30"/>
      <c r="L92" s="22">
        <f t="shared" si="20"/>
        <v>0</v>
      </c>
      <c r="M92" s="30"/>
      <c r="N92" s="22"/>
      <c r="O92" s="30"/>
      <c r="P92" s="24">
        <f t="shared" si="15"/>
        <v>0</v>
      </c>
      <c r="Q92" s="21">
        <f t="shared" si="16"/>
        <v>0</v>
      </c>
      <c r="R92" s="30"/>
      <c r="S92" s="21">
        <f t="shared" si="14"/>
        <v>0</v>
      </c>
      <c r="T92" s="76"/>
    </row>
    <row r="93" spans="1:20" ht="30" hidden="1" customHeight="1" x14ac:dyDescent="0.25">
      <c r="A93" s="23">
        <v>2000</v>
      </c>
      <c r="B93" s="20"/>
      <c r="C93" s="114"/>
      <c r="D93" s="22">
        <f t="shared" si="18"/>
        <v>0</v>
      </c>
      <c r="E93" s="20"/>
      <c r="F93" s="20"/>
      <c r="G93" s="22">
        <f t="shared" si="17"/>
        <v>0</v>
      </c>
      <c r="H93" s="20"/>
      <c r="I93" s="20"/>
      <c r="J93" s="22">
        <f t="shared" si="19"/>
        <v>0</v>
      </c>
      <c r="K93" s="20"/>
      <c r="L93" s="22">
        <f t="shared" si="20"/>
        <v>0</v>
      </c>
      <c r="M93" s="20"/>
      <c r="N93" s="20"/>
      <c r="O93" s="20"/>
      <c r="P93" s="24">
        <f t="shared" si="15"/>
        <v>0</v>
      </c>
      <c r="Q93" s="21">
        <f t="shared" si="16"/>
        <v>0</v>
      </c>
      <c r="R93" s="20"/>
      <c r="S93" s="21">
        <f t="shared" si="14"/>
        <v>0</v>
      </c>
      <c r="T93" s="36">
        <v>2000</v>
      </c>
    </row>
    <row r="94" spans="1:20" ht="30" hidden="1" customHeight="1" x14ac:dyDescent="0.25">
      <c r="A94" s="27" t="s">
        <v>30</v>
      </c>
      <c r="B94" s="22">
        <v>147</v>
      </c>
      <c r="C94" s="113">
        <v>1585</v>
      </c>
      <c r="D94" s="22">
        <f t="shared" si="18"/>
        <v>1732</v>
      </c>
      <c r="E94" s="22">
        <v>1258</v>
      </c>
      <c r="F94" s="22">
        <v>13</v>
      </c>
      <c r="G94" s="22">
        <f t="shared" si="17"/>
        <v>1271</v>
      </c>
      <c r="H94" s="22">
        <v>5810</v>
      </c>
      <c r="I94" s="22">
        <v>0</v>
      </c>
      <c r="J94" s="22">
        <f t="shared" si="19"/>
        <v>5810</v>
      </c>
      <c r="K94" s="22">
        <v>131</v>
      </c>
      <c r="L94" s="22">
        <f t="shared" si="20"/>
        <v>8944</v>
      </c>
      <c r="M94" s="22">
        <v>1170</v>
      </c>
      <c r="N94" s="22">
        <v>0</v>
      </c>
      <c r="O94" s="22">
        <v>501</v>
      </c>
      <c r="P94" s="24">
        <f t="shared" si="15"/>
        <v>1671</v>
      </c>
      <c r="Q94" s="21">
        <f t="shared" si="16"/>
        <v>10615</v>
      </c>
      <c r="R94" s="22">
        <v>18531</v>
      </c>
      <c r="S94" s="21">
        <f t="shared" si="14"/>
        <v>-7916</v>
      </c>
      <c r="T94" s="75" t="s">
        <v>30</v>
      </c>
    </row>
    <row r="95" spans="1:20" ht="30" hidden="1" customHeight="1" x14ac:dyDescent="0.25">
      <c r="A95" s="27" t="s">
        <v>31</v>
      </c>
      <c r="B95" s="22">
        <v>226</v>
      </c>
      <c r="C95" s="113">
        <v>1457</v>
      </c>
      <c r="D95" s="22">
        <f t="shared" si="18"/>
        <v>1683</v>
      </c>
      <c r="E95" s="22">
        <v>1540</v>
      </c>
      <c r="F95" s="22">
        <v>98</v>
      </c>
      <c r="G95" s="22">
        <f t="shared" si="17"/>
        <v>1638</v>
      </c>
      <c r="H95" s="22">
        <v>5209</v>
      </c>
      <c r="I95" s="22">
        <v>0</v>
      </c>
      <c r="J95" s="22">
        <f t="shared" si="19"/>
        <v>5209</v>
      </c>
      <c r="K95" s="22">
        <v>54</v>
      </c>
      <c r="L95" s="22">
        <f t="shared" si="20"/>
        <v>8584</v>
      </c>
      <c r="M95" s="22">
        <v>1237</v>
      </c>
      <c r="N95" s="22">
        <v>0</v>
      </c>
      <c r="O95" s="22">
        <v>412</v>
      </c>
      <c r="P95" s="24">
        <f t="shared" si="15"/>
        <v>1649</v>
      </c>
      <c r="Q95" s="21">
        <f t="shared" si="16"/>
        <v>10233</v>
      </c>
      <c r="R95" s="22">
        <v>23466</v>
      </c>
      <c r="S95" s="21">
        <f t="shared" si="14"/>
        <v>-13233</v>
      </c>
      <c r="T95" s="75" t="s">
        <v>31</v>
      </c>
    </row>
    <row r="96" spans="1:20" ht="30" hidden="1" customHeight="1" x14ac:dyDescent="0.25">
      <c r="A96" s="27" t="s">
        <v>3</v>
      </c>
      <c r="B96" s="22">
        <v>1936</v>
      </c>
      <c r="C96" s="113">
        <v>1824</v>
      </c>
      <c r="D96" s="22">
        <f t="shared" si="18"/>
        <v>3760</v>
      </c>
      <c r="E96" s="22">
        <v>2850</v>
      </c>
      <c r="F96" s="22">
        <v>291</v>
      </c>
      <c r="G96" s="22">
        <f t="shared" si="17"/>
        <v>3141</v>
      </c>
      <c r="H96" s="22">
        <v>7593</v>
      </c>
      <c r="I96" s="22">
        <v>0</v>
      </c>
      <c r="J96" s="22">
        <f t="shared" si="19"/>
        <v>7593</v>
      </c>
      <c r="K96" s="22">
        <v>40</v>
      </c>
      <c r="L96" s="22">
        <f t="shared" si="20"/>
        <v>14534</v>
      </c>
      <c r="M96" s="22">
        <v>700</v>
      </c>
      <c r="N96" s="22">
        <v>510</v>
      </c>
      <c r="O96" s="22">
        <v>524</v>
      </c>
      <c r="P96" s="24">
        <f t="shared" si="15"/>
        <v>1734</v>
      </c>
      <c r="Q96" s="21">
        <f t="shared" si="16"/>
        <v>16268</v>
      </c>
      <c r="R96" s="22">
        <v>31030</v>
      </c>
      <c r="S96" s="21">
        <f t="shared" si="14"/>
        <v>-14762</v>
      </c>
      <c r="T96" s="75" t="s">
        <v>3</v>
      </c>
    </row>
    <row r="97" spans="1:20" ht="30" hidden="1" customHeight="1" x14ac:dyDescent="0.25">
      <c r="A97" s="27" t="s">
        <v>33</v>
      </c>
      <c r="B97" s="22">
        <v>308</v>
      </c>
      <c r="C97" s="113">
        <v>795</v>
      </c>
      <c r="D97" s="22">
        <f t="shared" si="18"/>
        <v>1103</v>
      </c>
      <c r="E97" s="22">
        <v>1447</v>
      </c>
      <c r="F97" s="22">
        <v>51</v>
      </c>
      <c r="G97" s="22">
        <f t="shared" si="17"/>
        <v>1498</v>
      </c>
      <c r="H97" s="22">
        <v>5624</v>
      </c>
      <c r="I97" s="22">
        <v>0</v>
      </c>
      <c r="J97" s="22">
        <f t="shared" si="19"/>
        <v>5624</v>
      </c>
      <c r="K97" s="22">
        <v>4</v>
      </c>
      <c r="L97" s="22">
        <f t="shared" si="20"/>
        <v>8229</v>
      </c>
      <c r="M97" s="22">
        <v>92</v>
      </c>
      <c r="N97" s="22">
        <v>0</v>
      </c>
      <c r="O97" s="22">
        <v>247</v>
      </c>
      <c r="P97" s="24">
        <f t="shared" si="15"/>
        <v>339</v>
      </c>
      <c r="Q97" s="21">
        <f t="shared" si="16"/>
        <v>8568</v>
      </c>
      <c r="R97" s="22">
        <v>18429</v>
      </c>
      <c r="S97" s="21">
        <f t="shared" si="14"/>
        <v>-9861</v>
      </c>
      <c r="T97" s="75" t="s">
        <v>33</v>
      </c>
    </row>
    <row r="98" spans="1:20" ht="30" hidden="1" customHeight="1" x14ac:dyDescent="0.25">
      <c r="A98" s="27" t="s">
        <v>34</v>
      </c>
      <c r="B98" s="22">
        <v>770</v>
      </c>
      <c r="C98" s="113">
        <v>4083</v>
      </c>
      <c r="D98" s="22">
        <f t="shared" si="18"/>
        <v>4853</v>
      </c>
      <c r="E98" s="22">
        <v>1315</v>
      </c>
      <c r="F98" s="22">
        <v>77</v>
      </c>
      <c r="G98" s="22">
        <f t="shared" si="17"/>
        <v>1392</v>
      </c>
      <c r="H98" s="22">
        <v>8288</v>
      </c>
      <c r="I98" s="22">
        <v>0</v>
      </c>
      <c r="J98" s="22">
        <f t="shared" si="19"/>
        <v>8288</v>
      </c>
      <c r="K98" s="22">
        <v>36</v>
      </c>
      <c r="L98" s="22">
        <f t="shared" si="20"/>
        <v>14569</v>
      </c>
      <c r="M98" s="22">
        <v>457</v>
      </c>
      <c r="N98" s="22">
        <v>3031</v>
      </c>
      <c r="O98" s="22">
        <v>271</v>
      </c>
      <c r="P98" s="24">
        <f t="shared" si="15"/>
        <v>3759</v>
      </c>
      <c r="Q98" s="21">
        <f t="shared" si="16"/>
        <v>18328</v>
      </c>
      <c r="R98" s="22">
        <v>26227</v>
      </c>
      <c r="S98" s="21">
        <f t="shared" si="14"/>
        <v>-7899</v>
      </c>
      <c r="T98" s="75" t="s">
        <v>34</v>
      </c>
    </row>
    <row r="99" spans="1:20" ht="30" hidden="1" customHeight="1" x14ac:dyDescent="0.25">
      <c r="A99" s="27" t="s">
        <v>0</v>
      </c>
      <c r="B99" s="22">
        <v>3205</v>
      </c>
      <c r="C99" s="113">
        <v>2355</v>
      </c>
      <c r="D99" s="22">
        <f t="shared" si="18"/>
        <v>5560</v>
      </c>
      <c r="E99" s="22">
        <v>1674</v>
      </c>
      <c r="F99" s="22">
        <v>0</v>
      </c>
      <c r="G99" s="22">
        <f t="shared" si="17"/>
        <v>1674</v>
      </c>
      <c r="H99" s="22">
        <v>5643</v>
      </c>
      <c r="I99" s="22">
        <v>0</v>
      </c>
      <c r="J99" s="22">
        <f t="shared" si="19"/>
        <v>5643</v>
      </c>
      <c r="K99" s="22">
        <v>10</v>
      </c>
      <c r="L99" s="22">
        <f t="shared" si="20"/>
        <v>12887</v>
      </c>
      <c r="M99" s="22">
        <v>485</v>
      </c>
      <c r="N99" s="22">
        <v>771</v>
      </c>
      <c r="O99" s="22">
        <v>272</v>
      </c>
      <c r="P99" s="24">
        <f t="shared" si="15"/>
        <v>1528</v>
      </c>
      <c r="Q99" s="21">
        <f t="shared" si="16"/>
        <v>14415</v>
      </c>
      <c r="R99" s="22">
        <v>25973</v>
      </c>
      <c r="S99" s="21">
        <f t="shared" si="14"/>
        <v>-11558</v>
      </c>
      <c r="T99" s="75" t="s">
        <v>0</v>
      </c>
    </row>
    <row r="100" spans="1:20" ht="30" hidden="1" customHeight="1" x14ac:dyDescent="0.25">
      <c r="A100" s="27" t="s">
        <v>1</v>
      </c>
      <c r="B100" s="26">
        <v>1085</v>
      </c>
      <c r="C100" s="115">
        <v>2483</v>
      </c>
      <c r="D100" s="22">
        <f t="shared" si="18"/>
        <v>3568</v>
      </c>
      <c r="E100" s="22">
        <v>1588</v>
      </c>
      <c r="F100" s="22">
        <v>0</v>
      </c>
      <c r="G100" s="22">
        <f t="shared" si="17"/>
        <v>1588</v>
      </c>
      <c r="H100" s="22">
        <v>6494</v>
      </c>
      <c r="I100" s="22">
        <v>0</v>
      </c>
      <c r="J100" s="22">
        <f t="shared" si="19"/>
        <v>6494</v>
      </c>
      <c r="K100" s="22">
        <v>29</v>
      </c>
      <c r="L100" s="22">
        <f t="shared" si="20"/>
        <v>11679</v>
      </c>
      <c r="M100" s="22">
        <v>370</v>
      </c>
      <c r="N100" s="22">
        <v>0</v>
      </c>
      <c r="O100" s="22">
        <v>268</v>
      </c>
      <c r="P100" s="24">
        <f t="shared" si="15"/>
        <v>638</v>
      </c>
      <c r="Q100" s="21">
        <f t="shared" si="16"/>
        <v>12317</v>
      </c>
      <c r="R100" s="22">
        <v>25620</v>
      </c>
      <c r="S100" s="21">
        <f t="shared" si="14"/>
        <v>-13303</v>
      </c>
      <c r="T100" s="43" t="s">
        <v>1</v>
      </c>
    </row>
    <row r="101" spans="1:20" ht="30" hidden="1" customHeight="1" x14ac:dyDescent="0.25">
      <c r="A101" s="27" t="s">
        <v>2</v>
      </c>
      <c r="B101" s="22">
        <v>1148</v>
      </c>
      <c r="C101" s="113">
        <v>1929</v>
      </c>
      <c r="D101" s="22">
        <f t="shared" si="18"/>
        <v>3077</v>
      </c>
      <c r="E101" s="22">
        <v>1843</v>
      </c>
      <c r="F101" s="22">
        <v>0</v>
      </c>
      <c r="G101" s="22">
        <f t="shared" si="17"/>
        <v>1843</v>
      </c>
      <c r="H101" s="22">
        <v>6594</v>
      </c>
      <c r="I101" s="22">
        <v>0</v>
      </c>
      <c r="J101" s="22">
        <f t="shared" si="19"/>
        <v>6594</v>
      </c>
      <c r="K101" s="22">
        <v>46</v>
      </c>
      <c r="L101" s="22">
        <f t="shared" si="20"/>
        <v>11560</v>
      </c>
      <c r="M101" s="22">
        <v>636</v>
      </c>
      <c r="N101" s="22">
        <v>0</v>
      </c>
      <c r="O101" s="22">
        <v>314</v>
      </c>
      <c r="P101" s="24">
        <f t="shared" si="15"/>
        <v>950</v>
      </c>
      <c r="Q101" s="21">
        <f t="shared" si="16"/>
        <v>12510</v>
      </c>
      <c r="R101" s="22">
        <v>27780</v>
      </c>
      <c r="S101" s="21">
        <f t="shared" si="14"/>
        <v>-15270</v>
      </c>
      <c r="T101" s="43" t="s">
        <v>2</v>
      </c>
    </row>
    <row r="102" spans="1:20" ht="30" hidden="1" customHeight="1" x14ac:dyDescent="0.25">
      <c r="A102" s="27" t="s">
        <v>36</v>
      </c>
      <c r="B102" s="22">
        <v>4394</v>
      </c>
      <c r="C102" s="113">
        <v>1865</v>
      </c>
      <c r="D102" s="22">
        <f t="shared" si="18"/>
        <v>6259</v>
      </c>
      <c r="E102" s="22">
        <v>1591</v>
      </c>
      <c r="F102" s="22">
        <f>SUM(F100:F101)</f>
        <v>0</v>
      </c>
      <c r="G102" s="22">
        <f t="shared" si="17"/>
        <v>1591</v>
      </c>
      <c r="H102" s="22">
        <v>6224</v>
      </c>
      <c r="I102" s="22">
        <f>SUM(I100:I101)</f>
        <v>0</v>
      </c>
      <c r="J102" s="22">
        <f t="shared" si="19"/>
        <v>6224</v>
      </c>
      <c r="K102" s="22">
        <v>18</v>
      </c>
      <c r="L102" s="22">
        <f t="shared" si="20"/>
        <v>14092</v>
      </c>
      <c r="M102" s="22">
        <v>1146</v>
      </c>
      <c r="N102" s="22">
        <v>100</v>
      </c>
      <c r="O102" s="22">
        <v>414</v>
      </c>
      <c r="P102" s="24">
        <f t="shared" si="15"/>
        <v>1660</v>
      </c>
      <c r="Q102" s="21">
        <f t="shared" si="16"/>
        <v>15752</v>
      </c>
      <c r="R102" s="22">
        <v>24938</v>
      </c>
      <c r="S102" s="21">
        <f t="shared" si="14"/>
        <v>-9186</v>
      </c>
      <c r="T102" s="43" t="s">
        <v>36</v>
      </c>
    </row>
    <row r="103" spans="1:20" ht="30" hidden="1" customHeight="1" x14ac:dyDescent="0.25">
      <c r="A103" s="27" t="s">
        <v>38</v>
      </c>
      <c r="B103" s="22">
        <v>533</v>
      </c>
      <c r="C103" s="113">
        <v>2201</v>
      </c>
      <c r="D103" s="22">
        <f t="shared" si="18"/>
        <v>2734</v>
      </c>
      <c r="E103" s="22">
        <v>1679</v>
      </c>
      <c r="F103" s="22">
        <v>0</v>
      </c>
      <c r="G103" s="22">
        <f t="shared" si="17"/>
        <v>1679</v>
      </c>
      <c r="H103" s="22">
        <v>7067</v>
      </c>
      <c r="I103" s="22">
        <v>0</v>
      </c>
      <c r="J103" s="22">
        <f t="shared" si="19"/>
        <v>7067</v>
      </c>
      <c r="K103" s="22">
        <v>118</v>
      </c>
      <c r="L103" s="22">
        <f t="shared" si="20"/>
        <v>11598</v>
      </c>
      <c r="M103" s="22">
        <v>890</v>
      </c>
      <c r="N103" s="22">
        <v>200</v>
      </c>
      <c r="O103" s="22">
        <v>297</v>
      </c>
      <c r="P103" s="24">
        <f t="shared" si="15"/>
        <v>1387</v>
      </c>
      <c r="Q103" s="21">
        <f t="shared" si="16"/>
        <v>12985</v>
      </c>
      <c r="R103" s="22">
        <v>23042</v>
      </c>
      <c r="S103" s="21">
        <f t="shared" si="14"/>
        <v>-10057</v>
      </c>
      <c r="T103" s="43" t="s">
        <v>38</v>
      </c>
    </row>
    <row r="104" spans="1:20" ht="30" hidden="1" customHeight="1" x14ac:dyDescent="0.25">
      <c r="A104" s="28" t="s">
        <v>39</v>
      </c>
      <c r="B104" s="22">
        <v>611</v>
      </c>
      <c r="C104" s="113">
        <v>1466</v>
      </c>
      <c r="D104" s="22">
        <f t="shared" si="18"/>
        <v>2077</v>
      </c>
      <c r="E104" s="22">
        <v>1552</v>
      </c>
      <c r="F104" s="22">
        <v>2</v>
      </c>
      <c r="G104" s="22">
        <f t="shared" si="17"/>
        <v>1554</v>
      </c>
      <c r="H104" s="22">
        <v>7510</v>
      </c>
      <c r="I104" s="22">
        <v>0</v>
      </c>
      <c r="J104" s="22">
        <f t="shared" si="19"/>
        <v>7510</v>
      </c>
      <c r="K104" s="22">
        <v>5</v>
      </c>
      <c r="L104" s="22">
        <f t="shared" si="20"/>
        <v>11146</v>
      </c>
      <c r="M104" s="22">
        <v>304</v>
      </c>
      <c r="N104" s="22">
        <v>0</v>
      </c>
      <c r="O104" s="22">
        <v>699</v>
      </c>
      <c r="P104" s="24">
        <f t="shared" si="15"/>
        <v>1003</v>
      </c>
      <c r="Q104" s="21">
        <f t="shared" si="16"/>
        <v>12149</v>
      </c>
      <c r="R104" s="22">
        <v>28258</v>
      </c>
      <c r="S104" s="21">
        <f t="shared" si="14"/>
        <v>-16109</v>
      </c>
      <c r="T104" s="76" t="s">
        <v>39</v>
      </c>
    </row>
    <row r="105" spans="1:20" ht="30" hidden="1" customHeight="1" x14ac:dyDescent="0.25">
      <c r="A105" s="28" t="s">
        <v>40</v>
      </c>
      <c r="B105" s="22">
        <v>1565</v>
      </c>
      <c r="C105" s="113">
        <v>1271</v>
      </c>
      <c r="D105" s="22">
        <f t="shared" si="18"/>
        <v>2836</v>
      </c>
      <c r="E105" s="22">
        <v>638</v>
      </c>
      <c r="F105" s="22">
        <v>0</v>
      </c>
      <c r="G105" s="22">
        <f t="shared" si="17"/>
        <v>638</v>
      </c>
      <c r="H105" s="22">
        <v>3861</v>
      </c>
      <c r="I105" s="22">
        <v>0</v>
      </c>
      <c r="J105" s="22">
        <f t="shared" si="19"/>
        <v>3861</v>
      </c>
      <c r="K105" s="22">
        <v>5</v>
      </c>
      <c r="L105" s="22">
        <f t="shared" si="20"/>
        <v>7340</v>
      </c>
      <c r="M105" s="22">
        <v>270</v>
      </c>
      <c r="N105" s="22">
        <v>0</v>
      </c>
      <c r="O105" s="22">
        <v>424</v>
      </c>
      <c r="P105" s="24">
        <f t="shared" si="15"/>
        <v>694</v>
      </c>
      <c r="Q105" s="21">
        <f t="shared" si="16"/>
        <v>8034</v>
      </c>
      <c r="R105" s="22">
        <v>28536</v>
      </c>
      <c r="S105" s="21">
        <f t="shared" si="14"/>
        <v>-20502</v>
      </c>
      <c r="T105" s="76" t="s">
        <v>40</v>
      </c>
    </row>
    <row r="106" spans="1:20" ht="30" hidden="1" customHeight="1" x14ac:dyDescent="0.25">
      <c r="A106" s="23">
        <v>2002</v>
      </c>
      <c r="B106" s="22"/>
      <c r="C106" s="113"/>
      <c r="D106" s="22">
        <f t="shared" si="18"/>
        <v>0</v>
      </c>
      <c r="E106" s="22"/>
      <c r="F106" s="22"/>
      <c r="G106" s="22">
        <f t="shared" si="17"/>
        <v>0</v>
      </c>
      <c r="H106" s="22"/>
      <c r="I106" s="22"/>
      <c r="J106" s="22">
        <f t="shared" si="19"/>
        <v>0</v>
      </c>
      <c r="K106" s="22"/>
      <c r="L106" s="22">
        <f t="shared" si="20"/>
        <v>0</v>
      </c>
      <c r="M106" s="22"/>
      <c r="N106" s="22"/>
      <c r="O106" s="22"/>
      <c r="P106" s="24">
        <f t="shared" si="15"/>
        <v>0</v>
      </c>
      <c r="Q106" s="21">
        <f t="shared" si="16"/>
        <v>0</v>
      </c>
      <c r="R106" s="22"/>
      <c r="S106" s="21">
        <f t="shared" si="14"/>
        <v>0</v>
      </c>
      <c r="T106" s="36">
        <v>2002</v>
      </c>
    </row>
    <row r="107" spans="1:20" ht="30" hidden="1" customHeight="1" x14ac:dyDescent="0.25">
      <c r="A107" s="23" t="s">
        <v>32</v>
      </c>
      <c r="B107" s="22">
        <f>(B138+B139+B140)</f>
        <v>8403</v>
      </c>
      <c r="C107" s="113">
        <f>(C138+C139+C140)</f>
        <v>8897</v>
      </c>
      <c r="D107" s="22">
        <f t="shared" si="18"/>
        <v>17300</v>
      </c>
      <c r="E107" s="22">
        <f>E138+E139+E140</f>
        <v>8516</v>
      </c>
      <c r="F107" s="22">
        <f>F138+F139+F140</f>
        <v>1575</v>
      </c>
      <c r="G107" s="22">
        <f t="shared" si="17"/>
        <v>10091</v>
      </c>
      <c r="H107" s="22">
        <f>H138+H139+H140</f>
        <v>27919</v>
      </c>
      <c r="I107" s="22"/>
      <c r="J107" s="22">
        <f t="shared" si="19"/>
        <v>27919</v>
      </c>
      <c r="K107" s="22">
        <f>K138+K139+K140</f>
        <v>124</v>
      </c>
      <c r="L107" s="22">
        <f t="shared" si="20"/>
        <v>55434</v>
      </c>
      <c r="M107" s="22">
        <f>M138+M139+M140</f>
        <v>1760</v>
      </c>
      <c r="N107" s="22">
        <f>N138+N139+N140</f>
        <v>1200</v>
      </c>
      <c r="O107" s="22">
        <f>O138+O139+O140</f>
        <v>1567</v>
      </c>
      <c r="P107" s="24">
        <f t="shared" si="15"/>
        <v>4527</v>
      </c>
      <c r="Q107" s="21">
        <f t="shared" si="16"/>
        <v>59961</v>
      </c>
      <c r="R107" s="22">
        <f>R138+R139+R140</f>
        <v>114054</v>
      </c>
      <c r="S107" s="21">
        <f t="shared" si="14"/>
        <v>-54093</v>
      </c>
      <c r="T107" s="36" t="s">
        <v>32</v>
      </c>
    </row>
    <row r="108" spans="1:20" ht="30" hidden="1" customHeight="1" x14ac:dyDescent="0.25">
      <c r="A108" s="23" t="s">
        <v>35</v>
      </c>
      <c r="B108" s="22">
        <f>B142+B143+B144</f>
        <v>7086</v>
      </c>
      <c r="C108" s="113">
        <f>C142+C143+C144</f>
        <v>8291</v>
      </c>
      <c r="D108" s="22">
        <f t="shared" si="18"/>
        <v>15377</v>
      </c>
      <c r="E108" s="22">
        <f>E142+E143+E144</f>
        <v>7591</v>
      </c>
      <c r="F108" s="22">
        <f>F142+F143+F144</f>
        <v>2341</v>
      </c>
      <c r="G108" s="22">
        <f t="shared" si="17"/>
        <v>9932</v>
      </c>
      <c r="H108" s="22">
        <f>H142+H143+H144</f>
        <v>28720</v>
      </c>
      <c r="I108" s="22"/>
      <c r="J108" s="22">
        <f t="shared" si="19"/>
        <v>28720</v>
      </c>
      <c r="K108" s="22">
        <f>K142+K143+K144</f>
        <v>299</v>
      </c>
      <c r="L108" s="22">
        <f t="shared" si="20"/>
        <v>54328</v>
      </c>
      <c r="M108" s="22">
        <f>M142+M143+M144</f>
        <v>2275</v>
      </c>
      <c r="N108" s="22">
        <f>N142+N143+N144</f>
        <v>477</v>
      </c>
      <c r="O108" s="22">
        <f>O142+O143+O144</f>
        <v>1908</v>
      </c>
      <c r="P108" s="24">
        <f t="shared" si="15"/>
        <v>4660</v>
      </c>
      <c r="Q108" s="21">
        <f t="shared" si="16"/>
        <v>58988</v>
      </c>
      <c r="R108" s="22">
        <f>R142+R143+R144</f>
        <v>102985</v>
      </c>
      <c r="S108" s="21">
        <f t="shared" si="14"/>
        <v>-43997</v>
      </c>
      <c r="T108" s="36" t="s">
        <v>35</v>
      </c>
    </row>
    <row r="109" spans="1:20" ht="30" hidden="1" customHeight="1" x14ac:dyDescent="0.25">
      <c r="A109" s="23" t="s">
        <v>37</v>
      </c>
      <c r="B109" s="22">
        <f>B146+B147+B148</f>
        <v>6319</v>
      </c>
      <c r="C109" s="113">
        <f>C146+C147+C148</f>
        <v>7157</v>
      </c>
      <c r="D109" s="22">
        <f t="shared" si="18"/>
        <v>13476</v>
      </c>
      <c r="E109" s="22">
        <f>E146+E147+E148</f>
        <v>7972</v>
      </c>
      <c r="F109" s="22">
        <f>F146+F147+F148</f>
        <v>1884</v>
      </c>
      <c r="G109" s="22">
        <f t="shared" si="17"/>
        <v>9856</v>
      </c>
      <c r="H109" s="22">
        <f>H146+H147+H148</f>
        <v>31953</v>
      </c>
      <c r="I109" s="22"/>
      <c r="J109" s="22">
        <f t="shared" si="19"/>
        <v>31953</v>
      </c>
      <c r="K109" s="22">
        <f>K146+K147+K148</f>
        <v>356</v>
      </c>
      <c r="L109" s="22">
        <f t="shared" si="20"/>
        <v>55641</v>
      </c>
      <c r="M109" s="22">
        <f>M146+M147+M148</f>
        <v>642</v>
      </c>
      <c r="N109" s="33">
        <v>0</v>
      </c>
      <c r="O109" s="22">
        <f>O146+O147+O148</f>
        <v>1657</v>
      </c>
      <c r="P109" s="24">
        <f t="shared" si="15"/>
        <v>2299</v>
      </c>
      <c r="Q109" s="21">
        <f t="shared" si="16"/>
        <v>57940</v>
      </c>
      <c r="R109" s="22">
        <f>R146+R147+R148</f>
        <v>105924</v>
      </c>
      <c r="S109" s="21">
        <f t="shared" si="14"/>
        <v>-47984</v>
      </c>
      <c r="T109" s="36" t="s">
        <v>37</v>
      </c>
    </row>
    <row r="110" spans="1:20" ht="30" hidden="1" customHeight="1" x14ac:dyDescent="0.25">
      <c r="A110" s="23" t="s">
        <v>41</v>
      </c>
      <c r="B110" s="20">
        <v>3863</v>
      </c>
      <c r="C110" s="114">
        <v>10569</v>
      </c>
      <c r="D110" s="22">
        <f t="shared" si="18"/>
        <v>14432</v>
      </c>
      <c r="E110" s="20">
        <v>7200</v>
      </c>
      <c r="F110" s="20">
        <v>1705</v>
      </c>
      <c r="G110" s="22">
        <f t="shared" si="17"/>
        <v>8905</v>
      </c>
      <c r="H110" s="20">
        <v>27551</v>
      </c>
      <c r="I110" s="20">
        <v>0</v>
      </c>
      <c r="J110" s="22">
        <f t="shared" si="19"/>
        <v>27551</v>
      </c>
      <c r="K110" s="20">
        <v>245</v>
      </c>
      <c r="L110" s="22">
        <f t="shared" si="20"/>
        <v>51133</v>
      </c>
      <c r="M110" s="22">
        <v>799</v>
      </c>
      <c r="N110" s="33">
        <v>1</v>
      </c>
      <c r="O110" s="20">
        <v>1159</v>
      </c>
      <c r="P110" s="24">
        <f t="shared" si="15"/>
        <v>1959</v>
      </c>
      <c r="Q110" s="21">
        <f t="shared" si="16"/>
        <v>53092</v>
      </c>
      <c r="R110" s="20">
        <v>114989</v>
      </c>
      <c r="S110" s="21">
        <f t="shared" si="14"/>
        <v>-61897</v>
      </c>
      <c r="T110" s="36" t="s">
        <v>41</v>
      </c>
    </row>
    <row r="111" spans="1:20" ht="30" hidden="1" customHeight="1" x14ac:dyDescent="0.25">
      <c r="A111" s="36">
        <v>2002</v>
      </c>
      <c r="B111" s="22">
        <f>B107+B108+B109+B110</f>
        <v>25671</v>
      </c>
      <c r="C111" s="22">
        <f>C107+C108+C109+C110</f>
        <v>34914</v>
      </c>
      <c r="D111" s="22">
        <f>D107+D108+D109+D110</f>
        <v>60585</v>
      </c>
      <c r="E111" s="22">
        <f>E107+E108+E109+E110</f>
        <v>31279</v>
      </c>
      <c r="F111" s="22">
        <f t="shared" ref="F111:S111" si="21">F107+F108+F109+F110</f>
        <v>7505</v>
      </c>
      <c r="G111" s="22">
        <f t="shared" si="21"/>
        <v>38784</v>
      </c>
      <c r="H111" s="22">
        <f t="shared" si="21"/>
        <v>116143</v>
      </c>
      <c r="I111" s="22">
        <f t="shared" si="21"/>
        <v>0</v>
      </c>
      <c r="J111" s="22">
        <f t="shared" si="21"/>
        <v>116143</v>
      </c>
      <c r="K111" s="22">
        <f t="shared" si="21"/>
        <v>1024</v>
      </c>
      <c r="L111" s="22">
        <f t="shared" si="21"/>
        <v>216536</v>
      </c>
      <c r="M111" s="22">
        <f t="shared" si="21"/>
        <v>5476</v>
      </c>
      <c r="N111" s="22">
        <f t="shared" si="21"/>
        <v>1678</v>
      </c>
      <c r="O111" s="22">
        <f t="shared" si="21"/>
        <v>6291</v>
      </c>
      <c r="P111" s="22">
        <f t="shared" si="21"/>
        <v>13445</v>
      </c>
      <c r="Q111" s="22">
        <f t="shared" si="21"/>
        <v>229981</v>
      </c>
      <c r="R111" s="22">
        <f t="shared" si="21"/>
        <v>437952</v>
      </c>
      <c r="S111" s="22">
        <f t="shared" si="21"/>
        <v>-207971</v>
      </c>
      <c r="T111" s="36">
        <v>2002</v>
      </c>
    </row>
    <row r="112" spans="1:20" s="3" customFormat="1" ht="30" hidden="1" customHeight="1" x14ac:dyDescent="0.25">
      <c r="A112" s="34" t="s">
        <v>30</v>
      </c>
      <c r="B112" s="22">
        <v>911</v>
      </c>
      <c r="C112" s="113">
        <v>2840</v>
      </c>
      <c r="D112" s="22">
        <f t="shared" si="18"/>
        <v>3751</v>
      </c>
      <c r="E112" s="22">
        <v>2916</v>
      </c>
      <c r="F112" s="22">
        <v>503</v>
      </c>
      <c r="G112" s="22">
        <f t="shared" si="17"/>
        <v>3419</v>
      </c>
      <c r="H112" s="22">
        <v>7531</v>
      </c>
      <c r="I112" s="22">
        <v>0</v>
      </c>
      <c r="J112" s="22">
        <f t="shared" si="19"/>
        <v>7531</v>
      </c>
      <c r="K112" s="22">
        <v>21</v>
      </c>
      <c r="L112" s="22">
        <f t="shared" si="20"/>
        <v>14722</v>
      </c>
      <c r="M112" s="22">
        <v>823</v>
      </c>
      <c r="N112" s="33">
        <v>0</v>
      </c>
      <c r="O112" s="22">
        <v>87</v>
      </c>
      <c r="P112" s="24">
        <f t="shared" si="15"/>
        <v>910</v>
      </c>
      <c r="Q112" s="21">
        <f t="shared" si="16"/>
        <v>15632</v>
      </c>
      <c r="R112" s="22">
        <v>15441</v>
      </c>
      <c r="S112" s="21">
        <f t="shared" ref="S112:S145" si="22">Q112-R112</f>
        <v>191</v>
      </c>
      <c r="T112" s="77" t="s">
        <v>30</v>
      </c>
    </row>
    <row r="113" spans="1:20" s="3" customFormat="1" ht="30" hidden="1" customHeight="1" x14ac:dyDescent="0.25">
      <c r="A113" s="34" t="s">
        <v>31</v>
      </c>
      <c r="B113" s="22">
        <v>1067</v>
      </c>
      <c r="C113" s="113">
        <v>2035</v>
      </c>
      <c r="D113" s="22">
        <f t="shared" si="18"/>
        <v>3102</v>
      </c>
      <c r="E113" s="22">
        <v>2267</v>
      </c>
      <c r="F113" s="22">
        <v>641</v>
      </c>
      <c r="G113" s="22">
        <f t="shared" si="17"/>
        <v>2908</v>
      </c>
      <c r="H113" s="22">
        <v>7179</v>
      </c>
      <c r="I113" s="22">
        <v>0</v>
      </c>
      <c r="J113" s="22">
        <f t="shared" si="19"/>
        <v>7179</v>
      </c>
      <c r="K113" s="22">
        <v>37</v>
      </c>
      <c r="L113" s="22">
        <f t="shared" si="20"/>
        <v>13226</v>
      </c>
      <c r="M113" s="22">
        <v>364</v>
      </c>
      <c r="N113" s="33">
        <v>0</v>
      </c>
      <c r="O113" s="22">
        <v>292</v>
      </c>
      <c r="P113" s="24">
        <f t="shared" si="15"/>
        <v>656</v>
      </c>
      <c r="Q113" s="21">
        <f t="shared" si="16"/>
        <v>13882</v>
      </c>
      <c r="R113" s="22">
        <v>29408</v>
      </c>
      <c r="S113" s="21">
        <f t="shared" si="22"/>
        <v>-15526</v>
      </c>
      <c r="T113" s="77" t="s">
        <v>31</v>
      </c>
    </row>
    <row r="114" spans="1:20" s="3" customFormat="1" ht="30" hidden="1" customHeight="1" x14ac:dyDescent="0.25">
      <c r="A114" s="34" t="s">
        <v>3</v>
      </c>
      <c r="B114" s="22">
        <v>2192</v>
      </c>
      <c r="C114" s="113">
        <v>3148</v>
      </c>
      <c r="D114" s="22">
        <f t="shared" si="18"/>
        <v>5340</v>
      </c>
      <c r="E114" s="22">
        <v>1695</v>
      </c>
      <c r="F114" s="22">
        <v>524</v>
      </c>
      <c r="G114" s="22">
        <f t="shared" si="17"/>
        <v>2219</v>
      </c>
      <c r="H114" s="22">
        <v>5988</v>
      </c>
      <c r="I114" s="22">
        <v>0</v>
      </c>
      <c r="J114" s="22">
        <f t="shared" si="19"/>
        <v>5988</v>
      </c>
      <c r="K114" s="22">
        <v>86</v>
      </c>
      <c r="L114" s="22">
        <f t="shared" si="20"/>
        <v>13633</v>
      </c>
      <c r="M114" s="22">
        <v>399</v>
      </c>
      <c r="N114" s="33">
        <v>0</v>
      </c>
      <c r="O114" s="22">
        <v>1303</v>
      </c>
      <c r="P114" s="24">
        <f t="shared" si="15"/>
        <v>1702</v>
      </c>
      <c r="Q114" s="21">
        <f t="shared" si="16"/>
        <v>15335</v>
      </c>
      <c r="R114" s="22">
        <v>26826</v>
      </c>
      <c r="S114" s="21">
        <f t="shared" si="22"/>
        <v>-11491</v>
      </c>
      <c r="T114" s="77" t="s">
        <v>3</v>
      </c>
    </row>
    <row r="115" spans="1:20" s="3" customFormat="1" ht="30" hidden="1" customHeight="1" x14ac:dyDescent="0.25">
      <c r="A115" s="34" t="s">
        <v>33</v>
      </c>
      <c r="B115" s="22">
        <v>833</v>
      </c>
      <c r="C115" s="113">
        <v>2483</v>
      </c>
      <c r="D115" s="22">
        <f t="shared" si="18"/>
        <v>3316</v>
      </c>
      <c r="E115" s="22">
        <v>2527</v>
      </c>
      <c r="F115" s="22">
        <v>483</v>
      </c>
      <c r="G115" s="22">
        <f t="shared" si="17"/>
        <v>3010</v>
      </c>
      <c r="H115" s="22">
        <v>8644</v>
      </c>
      <c r="I115" s="22">
        <v>0</v>
      </c>
      <c r="J115" s="22">
        <f t="shared" si="19"/>
        <v>8644</v>
      </c>
      <c r="K115" s="22">
        <v>23</v>
      </c>
      <c r="L115" s="22">
        <f t="shared" si="20"/>
        <v>14993</v>
      </c>
      <c r="M115" s="22">
        <v>834</v>
      </c>
      <c r="N115" s="33">
        <v>2234</v>
      </c>
      <c r="O115" s="22">
        <v>731</v>
      </c>
      <c r="P115" s="24">
        <f t="shared" ref="P115:P148" si="23">O115+N115+M115</f>
        <v>3799</v>
      </c>
      <c r="Q115" s="21">
        <f t="shared" si="16"/>
        <v>18792</v>
      </c>
      <c r="R115" s="22">
        <v>31477</v>
      </c>
      <c r="S115" s="21">
        <f t="shared" si="22"/>
        <v>-12685</v>
      </c>
      <c r="T115" s="77" t="s">
        <v>33</v>
      </c>
    </row>
    <row r="116" spans="1:20" s="3" customFormat="1" ht="30" hidden="1" customHeight="1" x14ac:dyDescent="0.25">
      <c r="A116" s="34" t="s">
        <v>34</v>
      </c>
      <c r="B116" s="22">
        <v>1817</v>
      </c>
      <c r="C116" s="113">
        <v>2594</v>
      </c>
      <c r="D116" s="22">
        <f t="shared" si="18"/>
        <v>4411</v>
      </c>
      <c r="E116" s="22">
        <v>2689</v>
      </c>
      <c r="F116" s="22">
        <v>488</v>
      </c>
      <c r="G116" s="22">
        <f t="shared" si="17"/>
        <v>3177</v>
      </c>
      <c r="H116" s="22">
        <v>8649</v>
      </c>
      <c r="I116" s="22">
        <v>0</v>
      </c>
      <c r="J116" s="22">
        <f t="shared" si="19"/>
        <v>8649</v>
      </c>
      <c r="K116" s="22">
        <v>46</v>
      </c>
      <c r="L116" s="22">
        <f t="shared" si="20"/>
        <v>16283</v>
      </c>
      <c r="M116" s="22">
        <v>956</v>
      </c>
      <c r="N116" s="33">
        <v>0</v>
      </c>
      <c r="O116" s="22">
        <v>540</v>
      </c>
      <c r="P116" s="24">
        <f t="shared" si="23"/>
        <v>1496</v>
      </c>
      <c r="Q116" s="21">
        <f t="shared" ref="Q116:Q149" si="24">P116+L116</f>
        <v>17779</v>
      </c>
      <c r="R116" s="22">
        <v>25800</v>
      </c>
      <c r="S116" s="21">
        <f t="shared" si="22"/>
        <v>-8021</v>
      </c>
      <c r="T116" s="77" t="s">
        <v>34</v>
      </c>
    </row>
    <row r="117" spans="1:20" s="3" customFormat="1" ht="30" hidden="1" customHeight="1" x14ac:dyDescent="0.25">
      <c r="A117" s="34" t="s">
        <v>0</v>
      </c>
      <c r="B117" s="22">
        <v>2806</v>
      </c>
      <c r="C117" s="113">
        <v>2142</v>
      </c>
      <c r="D117" s="22">
        <f t="shared" si="18"/>
        <v>4948</v>
      </c>
      <c r="E117" s="22">
        <v>2576</v>
      </c>
      <c r="F117" s="22">
        <v>557</v>
      </c>
      <c r="G117" s="22">
        <f t="shared" ref="G117:G150" si="25">E117+F117</f>
        <v>3133</v>
      </c>
      <c r="H117" s="22">
        <v>9672</v>
      </c>
      <c r="I117" s="22">
        <v>0</v>
      </c>
      <c r="J117" s="22">
        <f t="shared" si="19"/>
        <v>9672</v>
      </c>
      <c r="K117" s="22">
        <v>38</v>
      </c>
      <c r="L117" s="22">
        <f t="shared" si="20"/>
        <v>17791</v>
      </c>
      <c r="M117" s="22">
        <v>393</v>
      </c>
      <c r="N117" s="33">
        <v>244</v>
      </c>
      <c r="O117" s="22">
        <v>540</v>
      </c>
      <c r="P117" s="24">
        <f t="shared" si="23"/>
        <v>1177</v>
      </c>
      <c r="Q117" s="21">
        <f t="shared" si="24"/>
        <v>18968</v>
      </c>
      <c r="R117" s="22">
        <v>20263</v>
      </c>
      <c r="S117" s="21">
        <f t="shared" si="22"/>
        <v>-1295</v>
      </c>
      <c r="T117" s="77" t="s">
        <v>0</v>
      </c>
    </row>
    <row r="118" spans="1:20" s="3" customFormat="1" ht="30" hidden="1" customHeight="1" x14ac:dyDescent="0.25">
      <c r="A118" s="27" t="s">
        <v>1</v>
      </c>
      <c r="B118" s="22">
        <v>1287</v>
      </c>
      <c r="C118" s="113">
        <v>2616</v>
      </c>
      <c r="D118" s="22">
        <f t="shared" ref="D118:D151" si="26">B118+C118</f>
        <v>3903</v>
      </c>
      <c r="E118" s="22">
        <v>765</v>
      </c>
      <c r="F118" s="22">
        <v>545</v>
      </c>
      <c r="G118" s="22">
        <f t="shared" si="25"/>
        <v>1310</v>
      </c>
      <c r="H118" s="22">
        <v>9977</v>
      </c>
      <c r="I118" s="22">
        <v>0</v>
      </c>
      <c r="J118" s="22">
        <f t="shared" ref="J118:J151" si="27">H118+I118</f>
        <v>9977</v>
      </c>
      <c r="K118" s="22">
        <v>109</v>
      </c>
      <c r="L118" s="22">
        <f t="shared" ref="L118:L151" si="28">K118+J118+G118+D118</f>
        <v>15299</v>
      </c>
      <c r="M118" s="22">
        <v>375</v>
      </c>
      <c r="N118" s="33">
        <v>500</v>
      </c>
      <c r="O118" s="22">
        <v>375</v>
      </c>
      <c r="P118" s="24">
        <f t="shared" si="23"/>
        <v>1250</v>
      </c>
      <c r="Q118" s="21">
        <f t="shared" si="24"/>
        <v>16549</v>
      </c>
      <c r="R118" s="22">
        <v>32026</v>
      </c>
      <c r="S118" s="21">
        <f t="shared" si="22"/>
        <v>-15477</v>
      </c>
      <c r="T118" s="43" t="s">
        <v>1</v>
      </c>
    </row>
    <row r="119" spans="1:20" s="3" customFormat="1" ht="30" hidden="1" customHeight="1" x14ac:dyDescent="0.25">
      <c r="A119" s="27" t="s">
        <v>2</v>
      </c>
      <c r="B119" s="22">
        <v>1735</v>
      </c>
      <c r="C119" s="113">
        <v>2889</v>
      </c>
      <c r="D119" s="22">
        <f t="shared" si="26"/>
        <v>4624</v>
      </c>
      <c r="E119" s="22">
        <v>1698</v>
      </c>
      <c r="F119" s="22">
        <v>615</v>
      </c>
      <c r="G119" s="22">
        <f t="shared" si="25"/>
        <v>2313</v>
      </c>
      <c r="H119" s="22">
        <v>10360</v>
      </c>
      <c r="I119" s="22">
        <v>0</v>
      </c>
      <c r="J119" s="22">
        <f t="shared" si="27"/>
        <v>10360</v>
      </c>
      <c r="K119" s="22">
        <v>83</v>
      </c>
      <c r="L119" s="22">
        <f t="shared" si="28"/>
        <v>17380</v>
      </c>
      <c r="M119" s="22">
        <v>776</v>
      </c>
      <c r="N119" s="33">
        <v>150</v>
      </c>
      <c r="O119" s="22">
        <v>495</v>
      </c>
      <c r="P119" s="24">
        <f t="shared" si="23"/>
        <v>1421</v>
      </c>
      <c r="Q119" s="21">
        <f t="shared" si="24"/>
        <v>18801</v>
      </c>
      <c r="R119" s="22">
        <v>33065</v>
      </c>
      <c r="S119" s="21">
        <f t="shared" si="22"/>
        <v>-14264</v>
      </c>
      <c r="T119" s="43" t="s">
        <v>2</v>
      </c>
    </row>
    <row r="120" spans="1:20" s="3" customFormat="1" ht="30" hidden="1" customHeight="1" x14ac:dyDescent="0.25">
      <c r="A120" s="27" t="s">
        <v>36</v>
      </c>
      <c r="B120" s="22">
        <v>3476</v>
      </c>
      <c r="C120" s="113">
        <v>2570</v>
      </c>
      <c r="D120" s="22">
        <f t="shared" si="26"/>
        <v>6046</v>
      </c>
      <c r="E120" s="22">
        <v>2702</v>
      </c>
      <c r="F120" s="22">
        <v>609</v>
      </c>
      <c r="G120" s="22">
        <f t="shared" si="25"/>
        <v>3311</v>
      </c>
      <c r="H120" s="22">
        <v>8925</v>
      </c>
      <c r="I120" s="22">
        <v>0</v>
      </c>
      <c r="J120" s="22">
        <f t="shared" si="27"/>
        <v>8925</v>
      </c>
      <c r="K120" s="22">
        <v>3</v>
      </c>
      <c r="L120" s="22">
        <f t="shared" si="28"/>
        <v>18285</v>
      </c>
      <c r="M120" s="22">
        <v>285</v>
      </c>
      <c r="N120" s="33">
        <v>0</v>
      </c>
      <c r="O120" s="22">
        <v>663</v>
      </c>
      <c r="P120" s="24">
        <f t="shared" si="23"/>
        <v>948</v>
      </c>
      <c r="Q120" s="21">
        <f t="shared" si="24"/>
        <v>19233</v>
      </c>
      <c r="R120" s="22">
        <v>25645</v>
      </c>
      <c r="S120" s="21">
        <f t="shared" si="22"/>
        <v>-6412</v>
      </c>
      <c r="T120" s="43" t="s">
        <v>36</v>
      </c>
    </row>
    <row r="121" spans="1:20" s="3" customFormat="1" ht="30" hidden="1" customHeight="1" x14ac:dyDescent="0.25">
      <c r="A121" s="27" t="s">
        <v>38</v>
      </c>
      <c r="B121" s="22">
        <v>513</v>
      </c>
      <c r="C121" s="113">
        <v>3000</v>
      </c>
      <c r="D121" s="22">
        <f t="shared" si="26"/>
        <v>3513</v>
      </c>
      <c r="E121" s="22">
        <v>2260</v>
      </c>
      <c r="F121" s="22">
        <v>471</v>
      </c>
      <c r="G121" s="22">
        <f t="shared" si="25"/>
        <v>2731</v>
      </c>
      <c r="H121" s="22">
        <v>8049</v>
      </c>
      <c r="I121" s="22">
        <v>0</v>
      </c>
      <c r="J121" s="22">
        <f t="shared" si="27"/>
        <v>8049</v>
      </c>
      <c r="K121" s="22">
        <v>3</v>
      </c>
      <c r="L121" s="22">
        <f t="shared" si="28"/>
        <v>14296</v>
      </c>
      <c r="M121" s="22">
        <v>276</v>
      </c>
      <c r="N121" s="33">
        <v>0</v>
      </c>
      <c r="O121" s="22">
        <v>407</v>
      </c>
      <c r="P121" s="24">
        <f t="shared" si="23"/>
        <v>683</v>
      </c>
      <c r="Q121" s="21">
        <f t="shared" si="24"/>
        <v>14979</v>
      </c>
      <c r="R121" s="22">
        <v>29974</v>
      </c>
      <c r="S121" s="21">
        <f t="shared" si="22"/>
        <v>-14995</v>
      </c>
      <c r="T121" s="43" t="s">
        <v>38</v>
      </c>
    </row>
    <row r="122" spans="1:20" s="3" customFormat="1" ht="30" hidden="1" customHeight="1" x14ac:dyDescent="0.25">
      <c r="A122" s="28" t="s">
        <v>39</v>
      </c>
      <c r="B122" s="22">
        <v>566</v>
      </c>
      <c r="C122" s="113">
        <v>3135</v>
      </c>
      <c r="D122" s="22">
        <f t="shared" si="26"/>
        <v>3701</v>
      </c>
      <c r="E122" s="22">
        <v>3094</v>
      </c>
      <c r="F122" s="22">
        <v>654</v>
      </c>
      <c r="G122" s="22">
        <f t="shared" si="25"/>
        <v>3748</v>
      </c>
      <c r="H122" s="22">
        <v>10029</v>
      </c>
      <c r="I122" s="22">
        <v>0</v>
      </c>
      <c r="J122" s="22">
        <f t="shared" si="27"/>
        <v>10029</v>
      </c>
      <c r="K122" s="22">
        <v>7</v>
      </c>
      <c r="L122" s="22">
        <f t="shared" si="28"/>
        <v>17485</v>
      </c>
      <c r="M122" s="22">
        <v>163</v>
      </c>
      <c r="N122" s="33">
        <v>1</v>
      </c>
      <c r="O122" s="22">
        <v>371</v>
      </c>
      <c r="P122" s="24">
        <f t="shared" si="23"/>
        <v>535</v>
      </c>
      <c r="Q122" s="21">
        <f t="shared" si="24"/>
        <v>18020</v>
      </c>
      <c r="R122" s="22">
        <v>38328</v>
      </c>
      <c r="S122" s="21">
        <f t="shared" si="22"/>
        <v>-20308</v>
      </c>
      <c r="T122" s="76" t="s">
        <v>39</v>
      </c>
    </row>
    <row r="123" spans="1:20" s="3" customFormat="1" ht="30" hidden="1" customHeight="1" x14ac:dyDescent="0.25">
      <c r="A123" s="28" t="s">
        <v>40</v>
      </c>
      <c r="B123" s="22">
        <v>2784</v>
      </c>
      <c r="C123" s="113">
        <v>4434</v>
      </c>
      <c r="D123" s="22">
        <f t="shared" si="26"/>
        <v>7218</v>
      </c>
      <c r="E123" s="22">
        <v>1846</v>
      </c>
      <c r="F123" s="22">
        <v>580</v>
      </c>
      <c r="G123" s="22">
        <f t="shared" si="25"/>
        <v>2426</v>
      </c>
      <c r="H123" s="22">
        <v>9473</v>
      </c>
      <c r="I123" s="22">
        <v>0</v>
      </c>
      <c r="J123" s="22">
        <f t="shared" si="27"/>
        <v>9473</v>
      </c>
      <c r="K123" s="22">
        <v>235</v>
      </c>
      <c r="L123" s="22">
        <f t="shared" si="28"/>
        <v>19352</v>
      </c>
      <c r="M123" s="22">
        <v>360</v>
      </c>
      <c r="N123" s="33">
        <v>0</v>
      </c>
      <c r="O123" s="22">
        <v>381</v>
      </c>
      <c r="P123" s="24">
        <f t="shared" si="23"/>
        <v>741</v>
      </c>
      <c r="Q123" s="21">
        <f t="shared" si="24"/>
        <v>20093</v>
      </c>
      <c r="R123" s="22">
        <v>46687</v>
      </c>
      <c r="S123" s="21">
        <f t="shared" si="22"/>
        <v>-26594</v>
      </c>
      <c r="T123" s="76" t="s">
        <v>40</v>
      </c>
    </row>
    <row r="124" spans="1:20" s="3" customFormat="1" ht="30" hidden="1" customHeight="1" x14ac:dyDescent="0.25">
      <c r="A124" s="28"/>
      <c r="B124" s="22"/>
      <c r="C124" s="113"/>
      <c r="D124" s="22">
        <f t="shared" si="26"/>
        <v>0</v>
      </c>
      <c r="E124" s="22"/>
      <c r="F124" s="22"/>
      <c r="G124" s="22">
        <f t="shared" si="25"/>
        <v>0</v>
      </c>
      <c r="H124" s="22"/>
      <c r="I124" s="22"/>
      <c r="J124" s="22">
        <f t="shared" si="27"/>
        <v>0</v>
      </c>
      <c r="K124" s="22"/>
      <c r="L124" s="22">
        <f t="shared" si="28"/>
        <v>0</v>
      </c>
      <c r="M124" s="22"/>
      <c r="N124" s="33"/>
      <c r="O124" s="22"/>
      <c r="P124" s="24">
        <f t="shared" si="23"/>
        <v>0</v>
      </c>
      <c r="Q124" s="21">
        <f t="shared" si="24"/>
        <v>0</v>
      </c>
      <c r="R124" s="22"/>
      <c r="S124" s="21">
        <f t="shared" si="22"/>
        <v>0</v>
      </c>
      <c r="T124" s="76"/>
    </row>
    <row r="125" spans="1:20" s="3" customFormat="1" ht="30" hidden="1" customHeight="1" x14ac:dyDescent="0.25">
      <c r="A125" s="23" t="s">
        <v>41</v>
      </c>
      <c r="B125" s="22">
        <f>B150+B151+B152</f>
        <v>7310</v>
      </c>
      <c r="C125" s="113">
        <f>C150+C151+C152</f>
        <v>8180</v>
      </c>
      <c r="D125" s="22">
        <f t="shared" si="26"/>
        <v>15490</v>
      </c>
      <c r="E125" s="22">
        <f>E150+E151+E152</f>
        <v>8048</v>
      </c>
      <c r="F125" s="22">
        <f>F150+F151+F152</f>
        <v>1958</v>
      </c>
      <c r="G125" s="22">
        <f t="shared" si="25"/>
        <v>10006</v>
      </c>
      <c r="H125" s="22">
        <f>H150+H151+H152</f>
        <v>32111</v>
      </c>
      <c r="I125" s="22"/>
      <c r="J125" s="22">
        <f t="shared" si="27"/>
        <v>32111</v>
      </c>
      <c r="K125" s="22">
        <f>K150+K151+K152</f>
        <v>459</v>
      </c>
      <c r="L125" s="22">
        <f t="shared" si="28"/>
        <v>58066</v>
      </c>
      <c r="M125" s="22">
        <f>M150+M151+M152</f>
        <v>1938</v>
      </c>
      <c r="N125" s="33">
        <v>0</v>
      </c>
      <c r="O125" s="22">
        <f>O150+O151+O152</f>
        <v>1793</v>
      </c>
      <c r="P125" s="24">
        <f t="shared" si="23"/>
        <v>3731</v>
      </c>
      <c r="Q125" s="21">
        <f t="shared" si="24"/>
        <v>61797</v>
      </c>
      <c r="R125" s="22">
        <f>R150+R151+R152</f>
        <v>151864</v>
      </c>
      <c r="S125" s="21">
        <f t="shared" si="22"/>
        <v>-90067</v>
      </c>
      <c r="T125" s="36" t="s">
        <v>41</v>
      </c>
    </row>
    <row r="126" spans="1:20" s="3" customFormat="1" ht="30" hidden="1" customHeight="1" x14ac:dyDescent="0.25">
      <c r="A126" s="28"/>
      <c r="B126" s="22"/>
      <c r="C126" s="113"/>
      <c r="D126" s="22">
        <f t="shared" si="26"/>
        <v>0</v>
      </c>
      <c r="E126" s="22"/>
      <c r="F126" s="22"/>
      <c r="G126" s="22">
        <f t="shared" si="25"/>
        <v>0</v>
      </c>
      <c r="H126" s="22"/>
      <c r="I126" s="22"/>
      <c r="J126" s="22">
        <f t="shared" si="27"/>
        <v>0</v>
      </c>
      <c r="K126" s="22"/>
      <c r="L126" s="22">
        <f t="shared" si="28"/>
        <v>0</v>
      </c>
      <c r="M126" s="22"/>
      <c r="N126" s="22"/>
      <c r="O126" s="22"/>
      <c r="P126" s="24">
        <f t="shared" si="23"/>
        <v>0</v>
      </c>
      <c r="Q126" s="21">
        <f t="shared" si="24"/>
        <v>0</v>
      </c>
      <c r="R126" s="22"/>
      <c r="S126" s="21">
        <f t="shared" si="22"/>
        <v>0</v>
      </c>
      <c r="T126" s="76"/>
    </row>
    <row r="127" spans="1:20" s="3" customFormat="1" ht="30" hidden="1" customHeight="1" x14ac:dyDescent="0.25">
      <c r="A127" s="23">
        <v>2003</v>
      </c>
      <c r="B127" s="21"/>
      <c r="C127" s="111"/>
      <c r="D127" s="22">
        <f t="shared" si="26"/>
        <v>0</v>
      </c>
      <c r="E127" s="21"/>
      <c r="F127" s="21"/>
      <c r="G127" s="22">
        <f t="shared" si="25"/>
        <v>0</v>
      </c>
      <c r="H127" s="21"/>
      <c r="I127" s="22"/>
      <c r="J127" s="22">
        <f t="shared" si="27"/>
        <v>0</v>
      </c>
      <c r="K127" s="21"/>
      <c r="L127" s="22">
        <f t="shared" si="28"/>
        <v>0</v>
      </c>
      <c r="M127" s="21"/>
      <c r="N127" s="22"/>
      <c r="O127" s="21"/>
      <c r="P127" s="24">
        <f t="shared" si="23"/>
        <v>0</v>
      </c>
      <c r="Q127" s="21">
        <f t="shared" si="24"/>
        <v>0</v>
      </c>
      <c r="R127" s="21"/>
      <c r="S127" s="21">
        <f t="shared" si="22"/>
        <v>0</v>
      </c>
      <c r="T127" s="36">
        <v>2003</v>
      </c>
    </row>
    <row r="128" spans="1:20" s="3" customFormat="1" ht="30" hidden="1" customHeight="1" x14ac:dyDescent="0.25">
      <c r="A128" s="23" t="s">
        <v>32</v>
      </c>
      <c r="B128" s="21">
        <f>B158+B159+B160</f>
        <v>9791</v>
      </c>
      <c r="C128" s="111">
        <f>C158+C159+C160</f>
        <v>11496</v>
      </c>
      <c r="D128" s="22">
        <f t="shared" si="26"/>
        <v>21287</v>
      </c>
      <c r="E128" s="21">
        <f>E158+E159+E160</f>
        <v>10708</v>
      </c>
      <c r="F128" s="21">
        <f>F158+F159+F160</f>
        <v>1949</v>
      </c>
      <c r="G128" s="22">
        <f t="shared" si="25"/>
        <v>12657</v>
      </c>
      <c r="H128" s="21">
        <f>H158+H159+H160</f>
        <v>35732</v>
      </c>
      <c r="I128" s="22"/>
      <c r="J128" s="22">
        <f t="shared" si="27"/>
        <v>35732</v>
      </c>
      <c r="K128" s="21">
        <f>K158+K159+K160</f>
        <v>739</v>
      </c>
      <c r="L128" s="22">
        <f t="shared" si="28"/>
        <v>70415</v>
      </c>
      <c r="M128" s="21">
        <f>M158+M159+M160</f>
        <v>6032</v>
      </c>
      <c r="N128" s="33">
        <v>0</v>
      </c>
      <c r="O128" s="21">
        <f>O158+O159+O160</f>
        <v>3578</v>
      </c>
      <c r="P128" s="24">
        <f t="shared" si="23"/>
        <v>9610</v>
      </c>
      <c r="Q128" s="21">
        <f t="shared" si="24"/>
        <v>80025</v>
      </c>
      <c r="R128" s="21">
        <f>R158+R159+R160</f>
        <v>132497</v>
      </c>
      <c r="S128" s="21">
        <f t="shared" si="22"/>
        <v>-52472</v>
      </c>
      <c r="T128" s="36" t="s">
        <v>32</v>
      </c>
    </row>
    <row r="129" spans="1:23" s="3" customFormat="1" ht="30" hidden="1" customHeight="1" x14ac:dyDescent="0.25">
      <c r="A129" s="23" t="s">
        <v>35</v>
      </c>
      <c r="B129" s="21">
        <f>B162+B163+B164</f>
        <v>12354</v>
      </c>
      <c r="C129" s="111">
        <f>C162+C163+C164</f>
        <v>11499</v>
      </c>
      <c r="D129" s="22">
        <f t="shared" si="26"/>
        <v>23853</v>
      </c>
      <c r="E129" s="21">
        <f>E162+E163+E164</f>
        <v>11964</v>
      </c>
      <c r="F129" s="21">
        <f>F162+F163+F164</f>
        <v>2196</v>
      </c>
      <c r="G129" s="22">
        <f t="shared" si="25"/>
        <v>14160</v>
      </c>
      <c r="H129" s="21">
        <f>H162+H163+H164</f>
        <v>44148</v>
      </c>
      <c r="I129" s="22"/>
      <c r="J129" s="22">
        <f t="shared" si="27"/>
        <v>44148</v>
      </c>
      <c r="K129" s="21">
        <f>K162+K163+K164</f>
        <v>866</v>
      </c>
      <c r="L129" s="22">
        <f t="shared" si="28"/>
        <v>83027</v>
      </c>
      <c r="M129" s="21">
        <f>M162+M163+M164</f>
        <v>4947</v>
      </c>
      <c r="N129" s="33">
        <v>0</v>
      </c>
      <c r="O129" s="21">
        <f>O162+O163+O164</f>
        <v>4431</v>
      </c>
      <c r="P129" s="24">
        <f t="shared" si="23"/>
        <v>9378</v>
      </c>
      <c r="Q129" s="21">
        <f t="shared" si="24"/>
        <v>92405</v>
      </c>
      <c r="R129" s="21">
        <f>R162+R163+R164</f>
        <v>141614</v>
      </c>
      <c r="S129" s="21">
        <f t="shared" si="22"/>
        <v>-49209</v>
      </c>
      <c r="T129" s="36" t="s">
        <v>35</v>
      </c>
    </row>
    <row r="130" spans="1:23" s="3" customFormat="1" ht="30" hidden="1" customHeight="1" x14ac:dyDescent="0.25">
      <c r="A130" s="23" t="s">
        <v>37</v>
      </c>
      <c r="B130" s="21">
        <f>B166+B167+B168</f>
        <v>13037</v>
      </c>
      <c r="C130" s="111">
        <f>C166+C167+C168</f>
        <v>11519</v>
      </c>
      <c r="D130" s="22">
        <f t="shared" si="26"/>
        <v>24556</v>
      </c>
      <c r="E130" s="21">
        <f>E166+E167+E168</f>
        <v>11111</v>
      </c>
      <c r="F130" s="21">
        <f>F166+F167+F168</f>
        <v>2387</v>
      </c>
      <c r="G130" s="22">
        <f t="shared" si="25"/>
        <v>13498</v>
      </c>
      <c r="H130" s="21">
        <f>H166+H167+H168</f>
        <v>43574</v>
      </c>
      <c r="I130" s="21">
        <f>I166+I167+I168</f>
        <v>0</v>
      </c>
      <c r="J130" s="22">
        <f t="shared" si="27"/>
        <v>43574</v>
      </c>
      <c r="K130" s="21">
        <f>K166+K167+K168</f>
        <v>992</v>
      </c>
      <c r="L130" s="22">
        <f t="shared" si="28"/>
        <v>82620</v>
      </c>
      <c r="M130" s="21">
        <f>M166+M167+M168</f>
        <v>3077</v>
      </c>
      <c r="N130" s="33">
        <f>N166+N167+N168</f>
        <v>0</v>
      </c>
      <c r="O130" s="21">
        <f>O166+O167+O168</f>
        <v>4158</v>
      </c>
      <c r="P130" s="24">
        <f t="shared" si="23"/>
        <v>7235</v>
      </c>
      <c r="Q130" s="21">
        <f t="shared" si="24"/>
        <v>89855</v>
      </c>
      <c r="R130" s="21">
        <f>R166+R167+R168</f>
        <v>147051</v>
      </c>
      <c r="S130" s="21">
        <f t="shared" si="22"/>
        <v>-57196</v>
      </c>
      <c r="T130" s="36" t="s">
        <v>37</v>
      </c>
    </row>
    <row r="131" spans="1:23" s="3" customFormat="1" ht="30" hidden="1" customHeight="1" x14ac:dyDescent="0.25">
      <c r="A131" s="23" t="s">
        <v>41</v>
      </c>
      <c r="B131" s="21">
        <f>SUM(B170:B172)</f>
        <v>12438</v>
      </c>
      <c r="C131" s="111">
        <f>SUM(C170:C172)</f>
        <v>11826</v>
      </c>
      <c r="D131" s="22">
        <f t="shared" si="26"/>
        <v>24264</v>
      </c>
      <c r="E131" s="21">
        <f>SUM(E170:E172)</f>
        <v>12017</v>
      </c>
      <c r="F131" s="21">
        <f>SUM(F170:F172)</f>
        <v>3123</v>
      </c>
      <c r="G131" s="22">
        <f t="shared" si="25"/>
        <v>15140</v>
      </c>
      <c r="H131" s="21">
        <f>SUM(H170:H172)</f>
        <v>42682</v>
      </c>
      <c r="I131" s="21">
        <f>SUM(I170:I172)</f>
        <v>0</v>
      </c>
      <c r="J131" s="22">
        <f t="shared" si="27"/>
        <v>42682</v>
      </c>
      <c r="K131" s="21">
        <f>SUM(K170:K172)</f>
        <v>1119</v>
      </c>
      <c r="L131" s="22">
        <f t="shared" si="28"/>
        <v>83205</v>
      </c>
      <c r="M131" s="21">
        <f>SUM(M170:M172)</f>
        <v>4435</v>
      </c>
      <c r="N131" s="33">
        <f>SUM(N170:N172)</f>
        <v>50</v>
      </c>
      <c r="O131" s="21">
        <f>SUM(O170:O172)</f>
        <v>4686</v>
      </c>
      <c r="P131" s="24">
        <f t="shared" si="23"/>
        <v>9171</v>
      </c>
      <c r="Q131" s="21">
        <f t="shared" si="24"/>
        <v>92376</v>
      </c>
      <c r="R131" s="21">
        <f>SUM(R170:R172)</f>
        <v>133883</v>
      </c>
      <c r="S131" s="21">
        <f t="shared" si="22"/>
        <v>-41507</v>
      </c>
      <c r="T131" s="36" t="s">
        <v>41</v>
      </c>
    </row>
    <row r="132" spans="1:23" s="3" customFormat="1" ht="30" hidden="1" customHeight="1" x14ac:dyDescent="0.25">
      <c r="A132" s="36">
        <v>2003</v>
      </c>
      <c r="B132" s="21">
        <f>B128+B129+B130+B131</f>
        <v>47620</v>
      </c>
      <c r="C132" s="21">
        <f t="shared" ref="C132:S132" si="29">C128+C129+C130+C131</f>
        <v>46340</v>
      </c>
      <c r="D132" s="21">
        <f t="shared" si="29"/>
        <v>93960</v>
      </c>
      <c r="E132" s="21">
        <f t="shared" si="29"/>
        <v>45800</v>
      </c>
      <c r="F132" s="21">
        <f t="shared" si="29"/>
        <v>9655</v>
      </c>
      <c r="G132" s="21">
        <f t="shared" si="29"/>
        <v>55455</v>
      </c>
      <c r="H132" s="21">
        <f t="shared" si="29"/>
        <v>166136</v>
      </c>
      <c r="I132" s="21">
        <f t="shared" si="29"/>
        <v>0</v>
      </c>
      <c r="J132" s="21">
        <f t="shared" si="29"/>
        <v>166136</v>
      </c>
      <c r="K132" s="21">
        <f t="shared" si="29"/>
        <v>3716</v>
      </c>
      <c r="L132" s="21">
        <f t="shared" si="29"/>
        <v>319267</v>
      </c>
      <c r="M132" s="21">
        <f t="shared" si="29"/>
        <v>18491</v>
      </c>
      <c r="N132" s="21">
        <f t="shared" si="29"/>
        <v>50</v>
      </c>
      <c r="O132" s="21">
        <f t="shared" si="29"/>
        <v>16853</v>
      </c>
      <c r="P132" s="21">
        <f t="shared" si="29"/>
        <v>35394</v>
      </c>
      <c r="Q132" s="21">
        <f t="shared" si="29"/>
        <v>354661</v>
      </c>
      <c r="R132" s="21">
        <f t="shared" si="29"/>
        <v>555045</v>
      </c>
      <c r="S132" s="21">
        <f t="shared" si="29"/>
        <v>-200384</v>
      </c>
      <c r="T132" s="36">
        <v>2003</v>
      </c>
    </row>
    <row r="133" spans="1:23" s="3" customFormat="1" ht="30" customHeight="1" x14ac:dyDescent="0.25">
      <c r="A133" s="36">
        <v>2004</v>
      </c>
      <c r="B133" s="21">
        <v>47620</v>
      </c>
      <c r="C133" s="21">
        <v>46340</v>
      </c>
      <c r="D133" s="21">
        <v>93960</v>
      </c>
      <c r="E133" s="21">
        <v>45800</v>
      </c>
      <c r="F133" s="22">
        <v>9655</v>
      </c>
      <c r="G133" s="22">
        <v>55455</v>
      </c>
      <c r="H133" s="22">
        <v>166136</v>
      </c>
      <c r="I133" s="22">
        <v>0</v>
      </c>
      <c r="J133" s="22">
        <v>166136</v>
      </c>
      <c r="K133" s="22">
        <v>3716</v>
      </c>
      <c r="L133" s="22">
        <v>319267</v>
      </c>
      <c r="M133" s="22">
        <v>18491</v>
      </c>
      <c r="N133" s="22">
        <v>2355</v>
      </c>
      <c r="O133" s="22">
        <v>16853</v>
      </c>
      <c r="P133" s="22">
        <v>37699</v>
      </c>
      <c r="Q133" s="22">
        <v>356966</v>
      </c>
      <c r="R133" s="22">
        <v>555045</v>
      </c>
      <c r="S133" s="22">
        <v>-198079</v>
      </c>
      <c r="T133" s="36">
        <v>2004</v>
      </c>
      <c r="U133" s="22"/>
      <c r="V133" s="22"/>
      <c r="W133" s="22"/>
    </row>
    <row r="134" spans="1:23" s="3" customFormat="1" ht="30" customHeight="1" x14ac:dyDescent="0.25">
      <c r="A134" s="36">
        <v>2005</v>
      </c>
      <c r="B134" s="21">
        <v>61695.165368720001</v>
      </c>
      <c r="C134" s="111">
        <v>48458.344693840008</v>
      </c>
      <c r="D134" s="22">
        <f t="shared" si="26"/>
        <v>110153.51006256</v>
      </c>
      <c r="E134" s="21">
        <v>49989</v>
      </c>
      <c r="F134" s="21">
        <v>13707.08537309</v>
      </c>
      <c r="G134" s="22">
        <f t="shared" si="25"/>
        <v>63696.085373089998</v>
      </c>
      <c r="H134" s="21">
        <v>172282</v>
      </c>
      <c r="I134" s="22">
        <v>0</v>
      </c>
      <c r="J134" s="22">
        <f t="shared" si="27"/>
        <v>172282</v>
      </c>
      <c r="K134" s="21">
        <v>4287.5805512500001</v>
      </c>
      <c r="L134" s="22">
        <f t="shared" si="28"/>
        <v>350419.17598689999</v>
      </c>
      <c r="M134" s="21">
        <v>34281</v>
      </c>
      <c r="N134" s="21">
        <v>7347.16645109</v>
      </c>
      <c r="O134" s="21">
        <v>23935.038999999997</v>
      </c>
      <c r="P134" s="24">
        <f t="shared" si="23"/>
        <v>65563.205451090005</v>
      </c>
      <c r="Q134" s="21">
        <f t="shared" si="24"/>
        <v>415982.38143799</v>
      </c>
      <c r="R134" s="21">
        <v>620727.78209461994</v>
      </c>
      <c r="S134" s="21">
        <f t="shared" si="22"/>
        <v>-204745.40065662994</v>
      </c>
      <c r="T134" s="36">
        <v>2005</v>
      </c>
    </row>
    <row r="135" spans="1:23" s="3" customFormat="1" ht="30" customHeight="1" x14ac:dyDescent="0.25">
      <c r="A135" s="36">
        <v>2006</v>
      </c>
      <c r="B135" s="21">
        <f>B196+B197+B198+B199+B200+B201+B202+B203+B204+B205+B206+B207</f>
        <v>64716</v>
      </c>
      <c r="C135" s="111">
        <f>C196+C197+C198+C199+C200+C201+C202+C203+C204+C205+C206+C207</f>
        <v>57749</v>
      </c>
      <c r="D135" s="22">
        <f t="shared" si="26"/>
        <v>122465</v>
      </c>
      <c r="E135" s="21">
        <f>E196+E197+E198+E199+E200+E201+E202+E203+E204+E205+E206+E207</f>
        <v>71023</v>
      </c>
      <c r="F135" s="21">
        <f>F196+F197+F198+F199+F200+F201+F202+F203+F204+F205+F206+F207</f>
        <v>9817</v>
      </c>
      <c r="G135" s="22">
        <f t="shared" si="25"/>
        <v>80840</v>
      </c>
      <c r="H135" s="21">
        <f>H196+H197+H198+H199+H200+H201+H202+H203+H204+H205+H206+H207</f>
        <v>197993</v>
      </c>
      <c r="I135" s="22">
        <v>0</v>
      </c>
      <c r="J135" s="22">
        <f t="shared" si="27"/>
        <v>197993</v>
      </c>
      <c r="K135" s="21">
        <f>K196+K197+K198+K199+K200+K201+K202+K203+K204+K205+K206+K207</f>
        <v>15502</v>
      </c>
      <c r="L135" s="22">
        <f t="shared" si="28"/>
        <v>416800</v>
      </c>
      <c r="M135" s="21">
        <f>M196+M197+M198+M199+M200+M201+M202+M203+M204+M205+M206+M207</f>
        <v>30907</v>
      </c>
      <c r="N135" s="21">
        <f>N196+N197+N198+N199+N200+N201+N202+N203+N204+N205+N206+N207</f>
        <v>8339</v>
      </c>
      <c r="O135" s="21">
        <f>O196+O197+O198+O199+O200+O201+O202+O203+O204+O205+O206+O207</f>
        <v>39656</v>
      </c>
      <c r="P135" s="24">
        <f t="shared" si="23"/>
        <v>78902</v>
      </c>
      <c r="Q135" s="21">
        <f t="shared" si="24"/>
        <v>495702</v>
      </c>
      <c r="R135" s="21">
        <f>R196+R197+R198+R199+R200+R201+R202+R203+R204+R205+R206+R207</f>
        <v>911783</v>
      </c>
      <c r="S135" s="21">
        <f t="shared" si="22"/>
        <v>-416081</v>
      </c>
      <c r="T135" s="36">
        <v>2006</v>
      </c>
    </row>
    <row r="136" spans="1:23" s="3" customFormat="1" ht="30" customHeight="1" x14ac:dyDescent="0.25">
      <c r="A136" s="36">
        <v>2007</v>
      </c>
      <c r="B136" s="21">
        <v>51375</v>
      </c>
      <c r="C136" s="111">
        <v>74189</v>
      </c>
      <c r="D136" s="22">
        <f t="shared" si="26"/>
        <v>125564</v>
      </c>
      <c r="E136" s="21">
        <v>47577</v>
      </c>
      <c r="F136" s="21">
        <v>9015</v>
      </c>
      <c r="G136" s="22">
        <f t="shared" si="25"/>
        <v>56592</v>
      </c>
      <c r="H136" s="21">
        <v>251796</v>
      </c>
      <c r="I136" s="21">
        <v>0</v>
      </c>
      <c r="J136" s="22">
        <f t="shared" si="27"/>
        <v>251796</v>
      </c>
      <c r="K136" s="21">
        <v>20732</v>
      </c>
      <c r="L136" s="22">
        <f t="shared" si="28"/>
        <v>454684</v>
      </c>
      <c r="M136" s="21">
        <v>40747</v>
      </c>
      <c r="N136" s="25">
        <v>6490</v>
      </c>
      <c r="O136" s="21">
        <v>34364</v>
      </c>
      <c r="P136" s="24">
        <f t="shared" si="23"/>
        <v>81601</v>
      </c>
      <c r="Q136" s="21">
        <f t="shared" si="24"/>
        <v>536285</v>
      </c>
      <c r="R136" s="21">
        <v>826163</v>
      </c>
      <c r="S136" s="21">
        <f t="shared" si="22"/>
        <v>-289878</v>
      </c>
      <c r="T136" s="36">
        <v>2007</v>
      </c>
    </row>
    <row r="137" spans="1:23" ht="30" hidden="1" customHeight="1" x14ac:dyDescent="0.25">
      <c r="A137" s="36">
        <v>2007</v>
      </c>
      <c r="B137" s="20"/>
      <c r="C137" s="114"/>
      <c r="D137" s="22">
        <f t="shared" si="26"/>
        <v>0</v>
      </c>
      <c r="E137" s="20"/>
      <c r="F137" s="20"/>
      <c r="G137" s="22">
        <f t="shared" si="25"/>
        <v>0</v>
      </c>
      <c r="H137" s="20"/>
      <c r="I137" s="22"/>
      <c r="J137" s="22">
        <f t="shared" si="27"/>
        <v>0</v>
      </c>
      <c r="K137" s="20"/>
      <c r="L137" s="22">
        <f t="shared" si="28"/>
        <v>0</v>
      </c>
      <c r="M137" s="22"/>
      <c r="N137" s="20"/>
      <c r="O137" s="20"/>
      <c r="P137" s="24">
        <f t="shared" si="23"/>
        <v>0</v>
      </c>
      <c r="Q137" s="21">
        <f t="shared" si="24"/>
        <v>0</v>
      </c>
      <c r="R137" s="20"/>
      <c r="S137" s="21">
        <f t="shared" si="22"/>
        <v>0</v>
      </c>
      <c r="T137" s="36">
        <v>2007</v>
      </c>
    </row>
    <row r="138" spans="1:23" s="3" customFormat="1" ht="30" hidden="1" customHeight="1" x14ac:dyDescent="0.25">
      <c r="A138" s="36">
        <v>2007</v>
      </c>
      <c r="B138" s="22">
        <v>1864</v>
      </c>
      <c r="C138" s="113">
        <v>3251</v>
      </c>
      <c r="D138" s="22">
        <f t="shared" si="26"/>
        <v>5115</v>
      </c>
      <c r="E138" s="22">
        <v>3232</v>
      </c>
      <c r="F138" s="22">
        <v>566</v>
      </c>
      <c r="G138" s="22">
        <f t="shared" si="25"/>
        <v>3798</v>
      </c>
      <c r="H138" s="22">
        <v>10045</v>
      </c>
      <c r="I138" s="22">
        <v>0</v>
      </c>
      <c r="J138" s="22">
        <f t="shared" si="27"/>
        <v>10045</v>
      </c>
      <c r="K138" s="22">
        <v>9</v>
      </c>
      <c r="L138" s="22">
        <f t="shared" si="28"/>
        <v>18967</v>
      </c>
      <c r="M138" s="22">
        <v>1010</v>
      </c>
      <c r="N138" s="22">
        <v>1200</v>
      </c>
      <c r="O138" s="22">
        <v>948</v>
      </c>
      <c r="P138" s="24">
        <f t="shared" si="23"/>
        <v>3158</v>
      </c>
      <c r="Q138" s="21">
        <f t="shared" si="24"/>
        <v>22125</v>
      </c>
      <c r="R138" s="22">
        <v>23234</v>
      </c>
      <c r="S138" s="21">
        <f t="shared" si="22"/>
        <v>-1109</v>
      </c>
      <c r="T138" s="36">
        <v>2007</v>
      </c>
    </row>
    <row r="139" spans="1:23" s="3" customFormat="1" ht="30" hidden="1" customHeight="1" x14ac:dyDescent="0.25">
      <c r="A139" s="36">
        <v>2007</v>
      </c>
      <c r="B139" s="22">
        <v>919</v>
      </c>
      <c r="C139" s="113">
        <v>2589</v>
      </c>
      <c r="D139" s="22">
        <f t="shared" si="26"/>
        <v>3508</v>
      </c>
      <c r="E139" s="22">
        <v>2925</v>
      </c>
      <c r="F139" s="22">
        <v>359</v>
      </c>
      <c r="G139" s="22">
        <f t="shared" si="25"/>
        <v>3284</v>
      </c>
      <c r="H139" s="22">
        <v>8325</v>
      </c>
      <c r="I139" s="22">
        <v>0</v>
      </c>
      <c r="J139" s="22">
        <f t="shared" si="27"/>
        <v>8325</v>
      </c>
      <c r="K139" s="22">
        <v>60</v>
      </c>
      <c r="L139" s="22">
        <f t="shared" si="28"/>
        <v>15177</v>
      </c>
      <c r="M139" s="22">
        <v>147</v>
      </c>
      <c r="N139" s="22">
        <v>0</v>
      </c>
      <c r="O139" s="22">
        <v>555</v>
      </c>
      <c r="P139" s="24">
        <f t="shared" si="23"/>
        <v>702</v>
      </c>
      <c r="Q139" s="21">
        <f t="shared" si="24"/>
        <v>15879</v>
      </c>
      <c r="R139" s="22">
        <v>32744</v>
      </c>
      <c r="S139" s="21">
        <f t="shared" si="22"/>
        <v>-16865</v>
      </c>
      <c r="T139" s="36">
        <v>2007</v>
      </c>
    </row>
    <row r="140" spans="1:23" s="3" customFormat="1" ht="30" hidden="1" customHeight="1" x14ac:dyDescent="0.25">
      <c r="A140" s="36">
        <v>2007</v>
      </c>
      <c r="B140" s="22">
        <v>5620</v>
      </c>
      <c r="C140" s="113">
        <v>3057</v>
      </c>
      <c r="D140" s="22">
        <f t="shared" si="26"/>
        <v>8677</v>
      </c>
      <c r="E140" s="22">
        <v>2359</v>
      </c>
      <c r="F140" s="22">
        <v>650</v>
      </c>
      <c r="G140" s="22">
        <f t="shared" si="25"/>
        <v>3009</v>
      </c>
      <c r="H140" s="22">
        <v>9549</v>
      </c>
      <c r="I140" s="22">
        <v>0</v>
      </c>
      <c r="J140" s="22">
        <f t="shared" si="27"/>
        <v>9549</v>
      </c>
      <c r="K140" s="22">
        <v>55</v>
      </c>
      <c r="L140" s="22">
        <f t="shared" si="28"/>
        <v>21290</v>
      </c>
      <c r="M140" s="22">
        <v>603</v>
      </c>
      <c r="N140" s="22">
        <v>0</v>
      </c>
      <c r="O140" s="22">
        <v>64</v>
      </c>
      <c r="P140" s="24">
        <f t="shared" si="23"/>
        <v>667</v>
      </c>
      <c r="Q140" s="21">
        <f t="shared" si="24"/>
        <v>21957</v>
      </c>
      <c r="R140" s="22">
        <v>58076</v>
      </c>
      <c r="S140" s="21">
        <f t="shared" si="22"/>
        <v>-36119</v>
      </c>
      <c r="T140" s="36">
        <v>2007</v>
      </c>
    </row>
    <row r="141" spans="1:23" s="3" customFormat="1" ht="30" hidden="1" customHeight="1" x14ac:dyDescent="0.25">
      <c r="A141" s="36">
        <v>2007</v>
      </c>
      <c r="B141" s="22">
        <v>8403</v>
      </c>
      <c r="C141" s="113">
        <v>8897</v>
      </c>
      <c r="D141" s="22">
        <f t="shared" si="26"/>
        <v>17300</v>
      </c>
      <c r="E141" s="22">
        <v>8516</v>
      </c>
      <c r="F141" s="22">
        <v>1575</v>
      </c>
      <c r="G141" s="22">
        <f t="shared" si="25"/>
        <v>10091</v>
      </c>
      <c r="H141" s="22">
        <v>27919</v>
      </c>
      <c r="I141" s="22">
        <v>0</v>
      </c>
      <c r="J141" s="22">
        <f t="shared" si="27"/>
        <v>27919</v>
      </c>
      <c r="K141" s="22">
        <v>124</v>
      </c>
      <c r="L141" s="22">
        <f t="shared" si="28"/>
        <v>55434</v>
      </c>
      <c r="M141" s="22">
        <v>1760</v>
      </c>
      <c r="N141" s="22">
        <v>1200</v>
      </c>
      <c r="O141" s="22">
        <v>1567</v>
      </c>
      <c r="P141" s="24">
        <f t="shared" si="23"/>
        <v>4527</v>
      </c>
      <c r="Q141" s="21">
        <f t="shared" si="24"/>
        <v>59961</v>
      </c>
      <c r="R141" s="22">
        <v>114054</v>
      </c>
      <c r="S141" s="21">
        <f t="shared" si="22"/>
        <v>-54093</v>
      </c>
      <c r="T141" s="36">
        <v>2007</v>
      </c>
    </row>
    <row r="142" spans="1:23" s="3" customFormat="1" ht="30" hidden="1" customHeight="1" x14ac:dyDescent="0.25">
      <c r="A142" s="36">
        <v>2007</v>
      </c>
      <c r="B142" s="22">
        <v>670</v>
      </c>
      <c r="C142" s="113">
        <v>3350</v>
      </c>
      <c r="D142" s="22">
        <f t="shared" si="26"/>
        <v>4020</v>
      </c>
      <c r="E142" s="22">
        <v>2562</v>
      </c>
      <c r="F142" s="22">
        <v>690</v>
      </c>
      <c r="G142" s="22">
        <f t="shared" si="25"/>
        <v>3252</v>
      </c>
      <c r="H142" s="22">
        <v>9528</v>
      </c>
      <c r="I142" s="22">
        <v>0</v>
      </c>
      <c r="J142" s="22">
        <f t="shared" si="27"/>
        <v>9528</v>
      </c>
      <c r="K142" s="22">
        <v>16</v>
      </c>
      <c r="L142" s="22">
        <f t="shared" si="28"/>
        <v>16816</v>
      </c>
      <c r="M142" s="22">
        <v>828</v>
      </c>
      <c r="N142" s="22">
        <v>77</v>
      </c>
      <c r="O142" s="22">
        <v>523</v>
      </c>
      <c r="P142" s="24">
        <f t="shared" si="23"/>
        <v>1428</v>
      </c>
      <c r="Q142" s="21">
        <f t="shared" si="24"/>
        <v>18244</v>
      </c>
      <c r="R142" s="22">
        <v>26431</v>
      </c>
      <c r="S142" s="21">
        <f t="shared" si="22"/>
        <v>-8187</v>
      </c>
      <c r="T142" s="36">
        <v>2007</v>
      </c>
    </row>
    <row r="143" spans="1:23" s="3" customFormat="1" ht="30" hidden="1" customHeight="1" x14ac:dyDescent="0.25">
      <c r="A143" s="36">
        <v>2007</v>
      </c>
      <c r="B143" s="22">
        <v>1541</v>
      </c>
      <c r="C143" s="113">
        <v>2591</v>
      </c>
      <c r="D143" s="22">
        <f t="shared" si="26"/>
        <v>4132</v>
      </c>
      <c r="E143" s="22">
        <v>2466</v>
      </c>
      <c r="F143" s="22">
        <v>785</v>
      </c>
      <c r="G143" s="22">
        <f t="shared" si="25"/>
        <v>3251</v>
      </c>
      <c r="H143" s="22">
        <v>9637</v>
      </c>
      <c r="I143" s="22">
        <v>0</v>
      </c>
      <c r="J143" s="22">
        <f t="shared" si="27"/>
        <v>9637</v>
      </c>
      <c r="K143" s="22">
        <v>129</v>
      </c>
      <c r="L143" s="22">
        <f t="shared" si="28"/>
        <v>17149</v>
      </c>
      <c r="M143" s="22">
        <v>440</v>
      </c>
      <c r="N143" s="22">
        <v>400</v>
      </c>
      <c r="O143" s="22">
        <v>562</v>
      </c>
      <c r="P143" s="24">
        <f t="shared" si="23"/>
        <v>1402</v>
      </c>
      <c r="Q143" s="21">
        <f t="shared" si="24"/>
        <v>18551</v>
      </c>
      <c r="R143" s="22">
        <v>40232</v>
      </c>
      <c r="S143" s="21">
        <f t="shared" si="22"/>
        <v>-21681</v>
      </c>
      <c r="T143" s="36">
        <v>2007</v>
      </c>
    </row>
    <row r="144" spans="1:23" s="3" customFormat="1" ht="30" hidden="1" customHeight="1" x14ac:dyDescent="0.25">
      <c r="A144" s="36">
        <v>2007</v>
      </c>
      <c r="B144" s="22">
        <v>4875</v>
      </c>
      <c r="C144" s="113">
        <v>2350</v>
      </c>
      <c r="D144" s="22">
        <f t="shared" si="26"/>
        <v>7225</v>
      </c>
      <c r="E144" s="22">
        <v>2563</v>
      </c>
      <c r="F144" s="22">
        <v>866</v>
      </c>
      <c r="G144" s="22">
        <f t="shared" si="25"/>
        <v>3429</v>
      </c>
      <c r="H144" s="22">
        <v>9555</v>
      </c>
      <c r="I144" s="22">
        <v>0</v>
      </c>
      <c r="J144" s="22">
        <f t="shared" si="27"/>
        <v>9555</v>
      </c>
      <c r="K144" s="22">
        <v>154</v>
      </c>
      <c r="L144" s="22">
        <f t="shared" si="28"/>
        <v>20363</v>
      </c>
      <c r="M144" s="22">
        <v>1007</v>
      </c>
      <c r="N144" s="22">
        <v>0</v>
      </c>
      <c r="O144" s="22">
        <v>823</v>
      </c>
      <c r="P144" s="24">
        <f t="shared" si="23"/>
        <v>1830</v>
      </c>
      <c r="Q144" s="21">
        <f t="shared" si="24"/>
        <v>22193</v>
      </c>
      <c r="R144" s="22">
        <v>36322</v>
      </c>
      <c r="S144" s="21">
        <f t="shared" si="22"/>
        <v>-14129</v>
      </c>
      <c r="T144" s="36">
        <v>2007</v>
      </c>
    </row>
    <row r="145" spans="1:20" s="3" customFormat="1" ht="30" hidden="1" customHeight="1" x14ac:dyDescent="0.25">
      <c r="A145" s="36">
        <v>2007</v>
      </c>
      <c r="B145" s="22">
        <v>7086</v>
      </c>
      <c r="C145" s="113">
        <v>8291</v>
      </c>
      <c r="D145" s="22">
        <f t="shared" si="26"/>
        <v>15377</v>
      </c>
      <c r="E145" s="22">
        <v>7591</v>
      </c>
      <c r="F145" s="22">
        <v>2341</v>
      </c>
      <c r="G145" s="22">
        <f t="shared" si="25"/>
        <v>9932</v>
      </c>
      <c r="H145" s="22">
        <v>28720</v>
      </c>
      <c r="I145" s="22">
        <v>0</v>
      </c>
      <c r="J145" s="22">
        <f t="shared" si="27"/>
        <v>28720</v>
      </c>
      <c r="K145" s="22">
        <v>299</v>
      </c>
      <c r="L145" s="22">
        <f t="shared" si="28"/>
        <v>54328</v>
      </c>
      <c r="M145" s="22">
        <v>2275</v>
      </c>
      <c r="N145" s="22">
        <v>477</v>
      </c>
      <c r="O145" s="22">
        <v>1908</v>
      </c>
      <c r="P145" s="24">
        <f t="shared" si="23"/>
        <v>4660</v>
      </c>
      <c r="Q145" s="21">
        <f t="shared" si="24"/>
        <v>58988</v>
      </c>
      <c r="R145" s="22">
        <v>102985</v>
      </c>
      <c r="S145" s="21">
        <f t="shared" si="22"/>
        <v>-43997</v>
      </c>
      <c r="T145" s="36">
        <v>2007</v>
      </c>
    </row>
    <row r="146" spans="1:20" s="3" customFormat="1" ht="30" hidden="1" customHeight="1" x14ac:dyDescent="0.25">
      <c r="A146" s="36">
        <v>2007</v>
      </c>
      <c r="B146" s="22">
        <v>986</v>
      </c>
      <c r="C146" s="113">
        <v>2828</v>
      </c>
      <c r="D146" s="22">
        <f t="shared" si="26"/>
        <v>3814</v>
      </c>
      <c r="E146" s="22">
        <v>2098</v>
      </c>
      <c r="F146" s="22">
        <v>693</v>
      </c>
      <c r="G146" s="22">
        <f t="shared" si="25"/>
        <v>2791</v>
      </c>
      <c r="H146" s="22">
        <v>12299</v>
      </c>
      <c r="I146" s="22">
        <v>0</v>
      </c>
      <c r="J146" s="22">
        <f t="shared" si="27"/>
        <v>12299</v>
      </c>
      <c r="K146" s="22">
        <v>130</v>
      </c>
      <c r="L146" s="22">
        <f t="shared" si="28"/>
        <v>19034</v>
      </c>
      <c r="M146" s="22">
        <v>205</v>
      </c>
      <c r="N146" s="22">
        <v>0</v>
      </c>
      <c r="O146" s="22">
        <v>436</v>
      </c>
      <c r="P146" s="24">
        <f t="shared" si="23"/>
        <v>641</v>
      </c>
      <c r="Q146" s="21">
        <f t="shared" si="24"/>
        <v>19675</v>
      </c>
      <c r="R146" s="22">
        <v>35543</v>
      </c>
      <c r="S146" s="21">
        <f t="shared" ref="S146:S155" si="30">Q146-R146</f>
        <v>-15868</v>
      </c>
      <c r="T146" s="36">
        <v>2007</v>
      </c>
    </row>
    <row r="147" spans="1:20" s="3" customFormat="1" ht="30" hidden="1" customHeight="1" x14ac:dyDescent="0.25">
      <c r="A147" s="36">
        <v>2007</v>
      </c>
      <c r="B147" s="20">
        <v>695</v>
      </c>
      <c r="C147" s="113">
        <v>2350</v>
      </c>
      <c r="D147" s="22">
        <f t="shared" si="26"/>
        <v>3045</v>
      </c>
      <c r="E147" s="22">
        <v>3258</v>
      </c>
      <c r="F147" s="22">
        <v>556</v>
      </c>
      <c r="G147" s="22">
        <f t="shared" si="25"/>
        <v>3814</v>
      </c>
      <c r="H147" s="22">
        <v>9892</v>
      </c>
      <c r="I147" s="22">
        <v>0</v>
      </c>
      <c r="J147" s="22">
        <f t="shared" si="27"/>
        <v>9892</v>
      </c>
      <c r="K147" s="22">
        <v>75</v>
      </c>
      <c r="L147" s="22">
        <f t="shared" si="28"/>
        <v>16826</v>
      </c>
      <c r="M147" s="22">
        <v>410</v>
      </c>
      <c r="N147" s="22">
        <v>0</v>
      </c>
      <c r="O147" s="22">
        <v>698</v>
      </c>
      <c r="P147" s="24">
        <f t="shared" si="23"/>
        <v>1108</v>
      </c>
      <c r="Q147" s="21">
        <f t="shared" si="24"/>
        <v>17934</v>
      </c>
      <c r="R147" s="22">
        <v>31535</v>
      </c>
      <c r="S147" s="21">
        <f t="shared" si="30"/>
        <v>-13601</v>
      </c>
      <c r="T147" s="36">
        <v>2007</v>
      </c>
    </row>
    <row r="148" spans="1:20" s="3" customFormat="1" ht="30" hidden="1" customHeight="1" x14ac:dyDescent="0.25">
      <c r="A148" s="36">
        <v>2007</v>
      </c>
      <c r="B148" s="20">
        <v>4638</v>
      </c>
      <c r="C148" s="113">
        <v>1979</v>
      </c>
      <c r="D148" s="22">
        <f t="shared" si="26"/>
        <v>6617</v>
      </c>
      <c r="E148" s="22">
        <v>2616</v>
      </c>
      <c r="F148" s="22">
        <v>635</v>
      </c>
      <c r="G148" s="22">
        <f t="shared" si="25"/>
        <v>3251</v>
      </c>
      <c r="H148" s="22">
        <v>9762</v>
      </c>
      <c r="I148" s="22">
        <v>0</v>
      </c>
      <c r="J148" s="22">
        <f t="shared" si="27"/>
        <v>9762</v>
      </c>
      <c r="K148" s="22">
        <v>151</v>
      </c>
      <c r="L148" s="22">
        <f t="shared" si="28"/>
        <v>19781</v>
      </c>
      <c r="M148" s="22">
        <v>27</v>
      </c>
      <c r="N148" s="22">
        <v>0</v>
      </c>
      <c r="O148" s="22">
        <v>523</v>
      </c>
      <c r="P148" s="24">
        <f t="shared" si="23"/>
        <v>550</v>
      </c>
      <c r="Q148" s="21">
        <f t="shared" si="24"/>
        <v>20331</v>
      </c>
      <c r="R148" s="22">
        <v>38846</v>
      </c>
      <c r="S148" s="21">
        <f t="shared" si="30"/>
        <v>-18515</v>
      </c>
      <c r="T148" s="36">
        <v>2007</v>
      </c>
    </row>
    <row r="149" spans="1:20" s="3" customFormat="1" ht="30" hidden="1" customHeight="1" x14ac:dyDescent="0.25">
      <c r="A149" s="36">
        <v>2007</v>
      </c>
      <c r="B149" s="22">
        <v>6319</v>
      </c>
      <c r="C149" s="113">
        <v>7157</v>
      </c>
      <c r="D149" s="22">
        <f t="shared" si="26"/>
        <v>13476</v>
      </c>
      <c r="E149" s="22">
        <v>7972</v>
      </c>
      <c r="F149" s="22">
        <v>1884</v>
      </c>
      <c r="G149" s="22">
        <f t="shared" si="25"/>
        <v>9856</v>
      </c>
      <c r="H149" s="22">
        <v>31953</v>
      </c>
      <c r="I149" s="22">
        <v>0</v>
      </c>
      <c r="J149" s="22">
        <f t="shared" si="27"/>
        <v>31953</v>
      </c>
      <c r="K149" s="22">
        <v>356</v>
      </c>
      <c r="L149" s="22">
        <f t="shared" si="28"/>
        <v>55641</v>
      </c>
      <c r="M149" s="22">
        <v>642</v>
      </c>
      <c r="N149" s="22">
        <v>0</v>
      </c>
      <c r="O149" s="22">
        <v>1657</v>
      </c>
      <c r="P149" s="24">
        <f t="shared" ref="P149:P155" si="31">O149+N149+M149</f>
        <v>2299</v>
      </c>
      <c r="Q149" s="21">
        <f t="shared" si="24"/>
        <v>57940</v>
      </c>
      <c r="R149" s="22">
        <v>105924</v>
      </c>
      <c r="S149" s="21">
        <f t="shared" si="30"/>
        <v>-47984</v>
      </c>
      <c r="T149" s="36">
        <v>2007</v>
      </c>
    </row>
    <row r="150" spans="1:20" s="3" customFormat="1" ht="30" hidden="1" customHeight="1" x14ac:dyDescent="0.25">
      <c r="A150" s="36">
        <v>2007</v>
      </c>
      <c r="B150" s="22">
        <v>1228</v>
      </c>
      <c r="C150" s="113">
        <v>2335</v>
      </c>
      <c r="D150" s="22">
        <f t="shared" si="26"/>
        <v>3563</v>
      </c>
      <c r="E150" s="22">
        <v>2849</v>
      </c>
      <c r="F150" s="22">
        <v>562</v>
      </c>
      <c r="G150" s="22">
        <f t="shared" si="25"/>
        <v>3411</v>
      </c>
      <c r="H150" s="22">
        <v>10029</v>
      </c>
      <c r="I150" s="22">
        <v>0</v>
      </c>
      <c r="J150" s="22">
        <f t="shared" si="27"/>
        <v>10029</v>
      </c>
      <c r="K150" s="22">
        <v>198</v>
      </c>
      <c r="L150" s="22">
        <f t="shared" si="28"/>
        <v>17201</v>
      </c>
      <c r="M150" s="22">
        <v>388</v>
      </c>
      <c r="N150" s="22">
        <v>0</v>
      </c>
      <c r="O150" s="22">
        <v>612</v>
      </c>
      <c r="P150" s="24">
        <f t="shared" si="31"/>
        <v>1000</v>
      </c>
      <c r="Q150" s="21">
        <f t="shared" ref="Q150:Q155" si="32">P150+L150</f>
        <v>18201</v>
      </c>
      <c r="R150" s="22">
        <v>43942</v>
      </c>
      <c r="S150" s="21">
        <f t="shared" si="30"/>
        <v>-25741</v>
      </c>
      <c r="T150" s="36">
        <v>2007</v>
      </c>
    </row>
    <row r="151" spans="1:20" s="3" customFormat="1" ht="30" hidden="1" customHeight="1" x14ac:dyDescent="0.25">
      <c r="A151" s="36">
        <v>2007</v>
      </c>
      <c r="B151" s="22">
        <v>1147</v>
      </c>
      <c r="C151" s="113">
        <v>2434</v>
      </c>
      <c r="D151" s="22">
        <f t="shared" si="26"/>
        <v>3581</v>
      </c>
      <c r="E151" s="22">
        <v>2755</v>
      </c>
      <c r="F151" s="22">
        <v>735</v>
      </c>
      <c r="G151" s="22">
        <f t="shared" ref="G151:G173" si="33">E151+F151</f>
        <v>3490</v>
      </c>
      <c r="H151" s="22">
        <v>9742</v>
      </c>
      <c r="I151" s="22">
        <v>0</v>
      </c>
      <c r="J151" s="22">
        <f t="shared" si="27"/>
        <v>9742</v>
      </c>
      <c r="K151" s="22">
        <v>145</v>
      </c>
      <c r="L151" s="22">
        <f t="shared" si="28"/>
        <v>16958</v>
      </c>
      <c r="M151" s="22">
        <v>964</v>
      </c>
      <c r="N151" s="22">
        <v>0</v>
      </c>
      <c r="O151" s="22">
        <v>614</v>
      </c>
      <c r="P151" s="24">
        <f t="shared" si="31"/>
        <v>1578</v>
      </c>
      <c r="Q151" s="21">
        <f t="shared" si="32"/>
        <v>18536</v>
      </c>
      <c r="R151" s="22">
        <v>52091</v>
      </c>
      <c r="S151" s="21">
        <f t="shared" si="30"/>
        <v>-33555</v>
      </c>
      <c r="T151" s="36">
        <v>2007</v>
      </c>
    </row>
    <row r="152" spans="1:20" s="3" customFormat="1" ht="30" hidden="1" customHeight="1" x14ac:dyDescent="0.25">
      <c r="A152" s="36">
        <v>2007</v>
      </c>
      <c r="B152" s="22">
        <v>4935</v>
      </c>
      <c r="C152" s="113">
        <v>3411</v>
      </c>
      <c r="D152" s="22">
        <f>B152+C152</f>
        <v>8346</v>
      </c>
      <c r="E152" s="22">
        <v>2444</v>
      </c>
      <c r="F152" s="22">
        <v>661</v>
      </c>
      <c r="G152" s="22">
        <f t="shared" si="33"/>
        <v>3105</v>
      </c>
      <c r="H152" s="22">
        <v>12340</v>
      </c>
      <c r="I152" s="22">
        <v>0</v>
      </c>
      <c r="J152" s="22">
        <f>H152+I152</f>
        <v>12340</v>
      </c>
      <c r="K152" s="22">
        <v>116</v>
      </c>
      <c r="L152" s="22">
        <f>K152+J152+G152+D152</f>
        <v>23907</v>
      </c>
      <c r="M152" s="22">
        <v>586</v>
      </c>
      <c r="N152" s="22">
        <v>0</v>
      </c>
      <c r="O152" s="22">
        <v>567</v>
      </c>
      <c r="P152" s="24">
        <f t="shared" si="31"/>
        <v>1153</v>
      </c>
      <c r="Q152" s="21">
        <f t="shared" si="32"/>
        <v>25060</v>
      </c>
      <c r="R152" s="22">
        <v>55831</v>
      </c>
      <c r="S152" s="21">
        <f t="shared" si="30"/>
        <v>-30771</v>
      </c>
      <c r="T152" s="36">
        <v>2007</v>
      </c>
    </row>
    <row r="153" spans="1:20" ht="30" hidden="1" customHeight="1" x14ac:dyDescent="0.25">
      <c r="A153" s="36">
        <v>2007</v>
      </c>
      <c r="B153" s="22">
        <v>7310</v>
      </c>
      <c r="C153" s="113">
        <v>8180</v>
      </c>
      <c r="D153" s="22">
        <f>B153+C153</f>
        <v>15490</v>
      </c>
      <c r="E153" s="22">
        <v>8048</v>
      </c>
      <c r="F153" s="22">
        <v>1958</v>
      </c>
      <c r="G153" s="22">
        <f t="shared" si="33"/>
        <v>10006</v>
      </c>
      <c r="H153" s="22">
        <v>32111</v>
      </c>
      <c r="I153" s="22">
        <v>0</v>
      </c>
      <c r="J153" s="22">
        <f>H153+I153</f>
        <v>32111</v>
      </c>
      <c r="K153" s="22">
        <v>459</v>
      </c>
      <c r="L153" s="22">
        <f>K153+J153+G153+D153</f>
        <v>58066</v>
      </c>
      <c r="M153" s="22">
        <v>1938</v>
      </c>
      <c r="N153" s="22">
        <v>0</v>
      </c>
      <c r="O153" s="22">
        <v>1793</v>
      </c>
      <c r="P153" s="24">
        <f t="shared" si="31"/>
        <v>3731</v>
      </c>
      <c r="Q153" s="21">
        <f t="shared" si="32"/>
        <v>61797</v>
      </c>
      <c r="R153" s="22">
        <v>151864</v>
      </c>
      <c r="S153" s="21">
        <f t="shared" si="30"/>
        <v>-90067</v>
      </c>
      <c r="T153" s="36">
        <v>2007</v>
      </c>
    </row>
    <row r="154" spans="1:20" ht="30" hidden="1" customHeight="1" x14ac:dyDescent="0.25">
      <c r="A154" s="36">
        <v>2007</v>
      </c>
      <c r="B154" s="22"/>
      <c r="C154" s="113"/>
      <c r="D154" s="22">
        <f>B154+C154</f>
        <v>0</v>
      </c>
      <c r="E154" s="22"/>
      <c r="F154" s="22"/>
      <c r="G154" s="22">
        <f t="shared" si="33"/>
        <v>0</v>
      </c>
      <c r="H154" s="22"/>
      <c r="I154" s="22"/>
      <c r="J154" s="22">
        <f>H154+I154</f>
        <v>0</v>
      </c>
      <c r="K154" s="22"/>
      <c r="L154" s="22">
        <f>K154+J154+G154+D154</f>
        <v>0</v>
      </c>
      <c r="M154" s="22"/>
      <c r="N154" s="22"/>
      <c r="O154" s="22"/>
      <c r="P154" s="24">
        <f t="shared" si="31"/>
        <v>0</v>
      </c>
      <c r="Q154" s="21">
        <f t="shared" si="32"/>
        <v>0</v>
      </c>
      <c r="R154" s="22"/>
      <c r="S154" s="21">
        <f t="shared" si="30"/>
        <v>0</v>
      </c>
      <c r="T154" s="36">
        <v>2007</v>
      </c>
    </row>
    <row r="155" spans="1:20" ht="30" hidden="1" customHeight="1" x14ac:dyDescent="0.25">
      <c r="A155" s="36">
        <v>2008</v>
      </c>
      <c r="B155" s="22"/>
      <c r="C155" s="113"/>
      <c r="D155" s="22">
        <f>B155+C155</f>
        <v>0</v>
      </c>
      <c r="E155" s="22"/>
      <c r="F155" s="22"/>
      <c r="G155" s="22">
        <f t="shared" si="33"/>
        <v>0</v>
      </c>
      <c r="H155" s="22"/>
      <c r="I155" s="22"/>
      <c r="J155" s="22">
        <f>H155+I155</f>
        <v>0</v>
      </c>
      <c r="K155" s="22"/>
      <c r="L155" s="22">
        <f>K155+J155+G155+D155</f>
        <v>0</v>
      </c>
      <c r="M155" s="22"/>
      <c r="N155" s="22"/>
      <c r="O155" s="22"/>
      <c r="P155" s="24">
        <f t="shared" si="31"/>
        <v>0</v>
      </c>
      <c r="Q155" s="21">
        <f t="shared" si="32"/>
        <v>0</v>
      </c>
      <c r="R155" s="22"/>
      <c r="S155" s="21">
        <f t="shared" si="30"/>
        <v>0</v>
      </c>
      <c r="T155" s="36">
        <v>2008</v>
      </c>
    </row>
    <row r="156" spans="1:20" ht="30" hidden="1" customHeight="1" x14ac:dyDescent="0.25">
      <c r="A156" s="36"/>
      <c r="B156" s="22"/>
      <c r="C156" s="113"/>
      <c r="D156" s="22"/>
      <c r="E156" s="22"/>
      <c r="F156" s="22"/>
      <c r="G156" s="22">
        <f t="shared" si="33"/>
        <v>0</v>
      </c>
      <c r="H156" s="22"/>
      <c r="I156" s="22"/>
      <c r="J156" s="22"/>
      <c r="K156" s="22"/>
      <c r="L156" s="22"/>
      <c r="M156" s="22"/>
      <c r="N156" s="22"/>
      <c r="O156" s="22"/>
      <c r="P156" s="24"/>
      <c r="Q156" s="21"/>
      <c r="R156" s="22"/>
      <c r="S156" s="21"/>
      <c r="T156" s="36"/>
    </row>
    <row r="157" spans="1:20" ht="30" hidden="1" customHeight="1" x14ac:dyDescent="0.25">
      <c r="A157" s="36">
        <v>2004</v>
      </c>
      <c r="B157" s="22"/>
      <c r="C157" s="113"/>
      <c r="D157" s="22"/>
      <c r="E157" s="22"/>
      <c r="F157" s="22"/>
      <c r="G157" s="22">
        <f t="shared" si="33"/>
        <v>0</v>
      </c>
      <c r="H157" s="22"/>
      <c r="I157" s="22"/>
      <c r="J157" s="22"/>
      <c r="K157" s="22"/>
      <c r="L157" s="22"/>
      <c r="M157" s="22"/>
      <c r="N157" s="22"/>
      <c r="O157" s="22"/>
      <c r="P157" s="24"/>
      <c r="Q157" s="21"/>
      <c r="R157" s="22"/>
      <c r="S157" s="21"/>
      <c r="T157" s="36">
        <v>2004</v>
      </c>
    </row>
    <row r="158" spans="1:20" ht="30" hidden="1" customHeight="1" x14ac:dyDescent="0.25">
      <c r="A158" s="36" t="s">
        <v>30</v>
      </c>
      <c r="B158" s="22">
        <v>1067</v>
      </c>
      <c r="C158" s="113">
        <v>3116</v>
      </c>
      <c r="D158" s="22">
        <f t="shared" ref="D158:D173" si="34">B158+C158</f>
        <v>4183</v>
      </c>
      <c r="E158" s="22">
        <v>3227</v>
      </c>
      <c r="F158" s="22">
        <v>770</v>
      </c>
      <c r="G158" s="22">
        <f t="shared" si="33"/>
        <v>3997</v>
      </c>
      <c r="H158" s="22">
        <v>11311</v>
      </c>
      <c r="I158" s="22">
        <v>0</v>
      </c>
      <c r="J158" s="22">
        <f t="shared" ref="J158:J173" si="35">H158+I158</f>
        <v>11311</v>
      </c>
      <c r="K158" s="22">
        <v>75</v>
      </c>
      <c r="L158" s="22">
        <f t="shared" ref="L158:L173" si="36">K158+J158+G158+D158</f>
        <v>19566</v>
      </c>
      <c r="M158" s="22">
        <v>2173</v>
      </c>
      <c r="N158" s="22">
        <v>0</v>
      </c>
      <c r="O158" s="22">
        <v>1177</v>
      </c>
      <c r="P158" s="24">
        <f t="shared" ref="P158:P173" si="37">O158+N158+M158</f>
        <v>3350</v>
      </c>
      <c r="Q158" s="21">
        <f t="shared" ref="Q158:Q173" si="38">P158+L158</f>
        <v>22916</v>
      </c>
      <c r="R158" s="22">
        <v>35830</v>
      </c>
      <c r="S158" s="21">
        <f t="shared" ref="S158:S173" si="39">Q158-R158</f>
        <v>-12914</v>
      </c>
      <c r="T158" s="77" t="s">
        <v>30</v>
      </c>
    </row>
    <row r="159" spans="1:20" ht="30" hidden="1" customHeight="1" x14ac:dyDescent="0.25">
      <c r="A159" s="36" t="s">
        <v>31</v>
      </c>
      <c r="B159" s="22">
        <v>1574</v>
      </c>
      <c r="C159" s="113">
        <v>3173</v>
      </c>
      <c r="D159" s="22">
        <f t="shared" si="34"/>
        <v>4747</v>
      </c>
      <c r="E159" s="22">
        <v>3328</v>
      </c>
      <c r="F159" s="22">
        <v>565</v>
      </c>
      <c r="G159" s="22">
        <f t="shared" si="33"/>
        <v>3893</v>
      </c>
      <c r="H159" s="22">
        <v>9893</v>
      </c>
      <c r="I159" s="22">
        <v>0</v>
      </c>
      <c r="J159" s="22">
        <f t="shared" si="35"/>
        <v>9893</v>
      </c>
      <c r="K159" s="22">
        <v>263</v>
      </c>
      <c r="L159" s="22">
        <f t="shared" si="36"/>
        <v>18796</v>
      </c>
      <c r="M159" s="22">
        <v>1954</v>
      </c>
      <c r="N159" s="22">
        <v>0</v>
      </c>
      <c r="O159" s="22">
        <v>959</v>
      </c>
      <c r="P159" s="24">
        <f t="shared" si="37"/>
        <v>2913</v>
      </c>
      <c r="Q159" s="21">
        <f t="shared" si="38"/>
        <v>21709</v>
      </c>
      <c r="R159" s="22">
        <v>50789</v>
      </c>
      <c r="S159" s="21">
        <f t="shared" si="39"/>
        <v>-29080</v>
      </c>
      <c r="T159" s="77" t="s">
        <v>31</v>
      </c>
    </row>
    <row r="160" spans="1:20" ht="30" hidden="1" customHeight="1" x14ac:dyDescent="0.25">
      <c r="A160" s="36" t="s">
        <v>3</v>
      </c>
      <c r="B160" s="22">
        <v>7150</v>
      </c>
      <c r="C160" s="113">
        <v>5207</v>
      </c>
      <c r="D160" s="22">
        <f t="shared" si="34"/>
        <v>12357</v>
      </c>
      <c r="E160" s="22">
        <v>4153</v>
      </c>
      <c r="F160" s="22">
        <v>614</v>
      </c>
      <c r="G160" s="22">
        <f t="shared" si="33"/>
        <v>4767</v>
      </c>
      <c r="H160" s="22">
        <v>14528</v>
      </c>
      <c r="I160" s="22">
        <v>0</v>
      </c>
      <c r="J160" s="22">
        <f t="shared" si="35"/>
        <v>14528</v>
      </c>
      <c r="K160" s="22">
        <v>401</v>
      </c>
      <c r="L160" s="22">
        <f t="shared" si="36"/>
        <v>32053</v>
      </c>
      <c r="M160" s="22">
        <v>1905</v>
      </c>
      <c r="N160" s="22">
        <v>0</v>
      </c>
      <c r="O160" s="22">
        <v>1442</v>
      </c>
      <c r="P160" s="24">
        <f t="shared" si="37"/>
        <v>3347</v>
      </c>
      <c r="Q160" s="21">
        <f t="shared" si="38"/>
        <v>35400</v>
      </c>
      <c r="R160" s="22">
        <v>45878</v>
      </c>
      <c r="S160" s="21">
        <f t="shared" si="39"/>
        <v>-10478</v>
      </c>
      <c r="T160" s="77" t="s">
        <v>3</v>
      </c>
    </row>
    <row r="161" spans="1:20" ht="30" hidden="1" customHeight="1" x14ac:dyDescent="0.25">
      <c r="A161" s="36" t="s">
        <v>32</v>
      </c>
      <c r="B161" s="22">
        <f>SUM(B158:B160)</f>
        <v>9791</v>
      </c>
      <c r="C161" s="113">
        <f>SUM(C158:C160)</f>
        <v>11496</v>
      </c>
      <c r="D161" s="22">
        <f t="shared" si="34"/>
        <v>21287</v>
      </c>
      <c r="E161" s="22">
        <f>SUM(E158:E160)</f>
        <v>10708</v>
      </c>
      <c r="F161" s="22">
        <f>SUM(F158:F160)</f>
        <v>1949</v>
      </c>
      <c r="G161" s="22">
        <f t="shared" si="33"/>
        <v>12657</v>
      </c>
      <c r="H161" s="22">
        <f>SUM(H158:H160)</f>
        <v>35732</v>
      </c>
      <c r="I161" s="22">
        <f>SUM(I158:I160)</f>
        <v>0</v>
      </c>
      <c r="J161" s="22">
        <f t="shared" si="35"/>
        <v>35732</v>
      </c>
      <c r="K161" s="22">
        <f>SUM(K158:K160)</f>
        <v>739</v>
      </c>
      <c r="L161" s="22">
        <f t="shared" si="36"/>
        <v>70415</v>
      </c>
      <c r="M161" s="22">
        <f>SUM(M158:M160)</f>
        <v>6032</v>
      </c>
      <c r="N161" s="22">
        <f>SUM(N158:N160)</f>
        <v>0</v>
      </c>
      <c r="O161" s="22">
        <f>SUM(O158:O160)</f>
        <v>3578</v>
      </c>
      <c r="P161" s="24">
        <f t="shared" si="37"/>
        <v>9610</v>
      </c>
      <c r="Q161" s="21">
        <f t="shared" si="38"/>
        <v>80025</v>
      </c>
      <c r="R161" s="22">
        <f>SUM(R158:R160)</f>
        <v>132497</v>
      </c>
      <c r="S161" s="21">
        <f t="shared" si="39"/>
        <v>-52472</v>
      </c>
      <c r="T161" s="36" t="s">
        <v>32</v>
      </c>
    </row>
    <row r="162" spans="1:20" ht="30" hidden="1" customHeight="1" x14ac:dyDescent="0.25">
      <c r="A162" s="36" t="s">
        <v>33</v>
      </c>
      <c r="B162" s="22">
        <v>2651</v>
      </c>
      <c r="C162" s="113">
        <v>3917</v>
      </c>
      <c r="D162" s="22">
        <f t="shared" si="34"/>
        <v>6568</v>
      </c>
      <c r="E162" s="22">
        <v>3795</v>
      </c>
      <c r="F162" s="22">
        <v>939</v>
      </c>
      <c r="G162" s="22">
        <f t="shared" si="33"/>
        <v>4734</v>
      </c>
      <c r="H162" s="22">
        <v>13674</v>
      </c>
      <c r="I162" s="22">
        <v>0</v>
      </c>
      <c r="J162" s="22">
        <f t="shared" si="35"/>
        <v>13674</v>
      </c>
      <c r="K162" s="22">
        <v>228</v>
      </c>
      <c r="L162" s="22">
        <f t="shared" si="36"/>
        <v>25204</v>
      </c>
      <c r="M162" s="22">
        <v>1766</v>
      </c>
      <c r="N162" s="22">
        <v>1999</v>
      </c>
      <c r="O162" s="22">
        <v>1383</v>
      </c>
      <c r="P162" s="24">
        <f t="shared" si="37"/>
        <v>5148</v>
      </c>
      <c r="Q162" s="21">
        <f t="shared" si="38"/>
        <v>30352</v>
      </c>
      <c r="R162" s="22">
        <v>52260</v>
      </c>
      <c r="S162" s="21">
        <f t="shared" si="39"/>
        <v>-21908</v>
      </c>
      <c r="T162" s="77" t="s">
        <v>33</v>
      </c>
    </row>
    <row r="163" spans="1:20" ht="30" hidden="1" customHeight="1" x14ac:dyDescent="0.25">
      <c r="A163" s="36" t="s">
        <v>34</v>
      </c>
      <c r="B163" s="22">
        <v>2183</v>
      </c>
      <c r="C163" s="113">
        <v>3483</v>
      </c>
      <c r="D163" s="22">
        <f t="shared" si="34"/>
        <v>5666</v>
      </c>
      <c r="E163" s="22">
        <v>3637</v>
      </c>
      <c r="F163" s="22">
        <v>531</v>
      </c>
      <c r="G163" s="22">
        <f t="shared" si="33"/>
        <v>4168</v>
      </c>
      <c r="H163" s="22">
        <v>14211</v>
      </c>
      <c r="I163" s="22">
        <v>0</v>
      </c>
      <c r="J163" s="22">
        <f t="shared" si="35"/>
        <v>14211</v>
      </c>
      <c r="K163" s="22">
        <v>239</v>
      </c>
      <c r="L163" s="22">
        <f t="shared" si="36"/>
        <v>24284</v>
      </c>
      <c r="M163" s="22">
        <v>1424</v>
      </c>
      <c r="N163" s="22">
        <v>306</v>
      </c>
      <c r="O163" s="22">
        <v>1342</v>
      </c>
      <c r="P163" s="24">
        <f t="shared" si="37"/>
        <v>3072</v>
      </c>
      <c r="Q163" s="21">
        <f t="shared" si="38"/>
        <v>27356</v>
      </c>
      <c r="R163" s="22">
        <v>44731</v>
      </c>
      <c r="S163" s="21">
        <f t="shared" si="39"/>
        <v>-17375</v>
      </c>
      <c r="T163" s="77" t="s">
        <v>34</v>
      </c>
    </row>
    <row r="164" spans="1:20" ht="30" hidden="1" customHeight="1" x14ac:dyDescent="0.25">
      <c r="A164" s="36" t="s">
        <v>0</v>
      </c>
      <c r="B164" s="22">
        <v>7520</v>
      </c>
      <c r="C164" s="113">
        <v>4099</v>
      </c>
      <c r="D164" s="22">
        <f t="shared" si="34"/>
        <v>11619</v>
      </c>
      <c r="E164" s="22">
        <v>4532</v>
      </c>
      <c r="F164" s="22">
        <v>726</v>
      </c>
      <c r="G164" s="22">
        <f t="shared" si="33"/>
        <v>5258</v>
      </c>
      <c r="H164" s="22">
        <v>16263</v>
      </c>
      <c r="I164" s="22">
        <v>0</v>
      </c>
      <c r="J164" s="22">
        <f t="shared" si="35"/>
        <v>16263</v>
      </c>
      <c r="K164" s="22">
        <v>399</v>
      </c>
      <c r="L164" s="22">
        <f t="shared" si="36"/>
        <v>33539</v>
      </c>
      <c r="M164" s="22">
        <v>1757</v>
      </c>
      <c r="N164" s="22">
        <v>0</v>
      </c>
      <c r="O164" s="22">
        <v>1706</v>
      </c>
      <c r="P164" s="24">
        <f t="shared" si="37"/>
        <v>3463</v>
      </c>
      <c r="Q164" s="21">
        <f t="shared" si="38"/>
        <v>37002</v>
      </c>
      <c r="R164" s="22">
        <v>44623</v>
      </c>
      <c r="S164" s="21">
        <f t="shared" si="39"/>
        <v>-7621</v>
      </c>
      <c r="T164" s="77" t="s">
        <v>0</v>
      </c>
    </row>
    <row r="165" spans="1:20" ht="30" hidden="1" customHeight="1" x14ac:dyDescent="0.25">
      <c r="A165" s="36" t="s">
        <v>35</v>
      </c>
      <c r="B165" s="22">
        <f>SUM(B162:B164)</f>
        <v>12354</v>
      </c>
      <c r="C165" s="113">
        <f>SUM(C162:C164)</f>
        <v>11499</v>
      </c>
      <c r="D165" s="22">
        <f t="shared" si="34"/>
        <v>23853</v>
      </c>
      <c r="E165" s="22">
        <f>SUM(E162:E164)</f>
        <v>11964</v>
      </c>
      <c r="F165" s="22">
        <f>SUM(F162:F164)</f>
        <v>2196</v>
      </c>
      <c r="G165" s="22">
        <f t="shared" si="33"/>
        <v>14160</v>
      </c>
      <c r="H165" s="22">
        <f>SUM(H162:H164)</f>
        <v>44148</v>
      </c>
      <c r="I165" s="22">
        <f>SUM(I162:I164)</f>
        <v>0</v>
      </c>
      <c r="J165" s="22">
        <f t="shared" si="35"/>
        <v>44148</v>
      </c>
      <c r="K165" s="22">
        <f>SUM(K162:K164)</f>
        <v>866</v>
      </c>
      <c r="L165" s="22">
        <f t="shared" si="36"/>
        <v>83027</v>
      </c>
      <c r="M165" s="22">
        <f>SUM(M162:M164)</f>
        <v>4947</v>
      </c>
      <c r="N165" s="22">
        <f>SUM(N162:N164)</f>
        <v>2305</v>
      </c>
      <c r="O165" s="22">
        <f>SUM(O162:O164)</f>
        <v>4431</v>
      </c>
      <c r="P165" s="24">
        <f t="shared" si="37"/>
        <v>11683</v>
      </c>
      <c r="Q165" s="21">
        <f t="shared" si="38"/>
        <v>94710</v>
      </c>
      <c r="R165" s="22">
        <f>SUM(R162:R164)</f>
        <v>141614</v>
      </c>
      <c r="S165" s="21">
        <f t="shared" si="39"/>
        <v>-46904</v>
      </c>
      <c r="T165" s="36" t="s">
        <v>35</v>
      </c>
    </row>
    <row r="166" spans="1:20" ht="30" hidden="1" customHeight="1" x14ac:dyDescent="0.25">
      <c r="A166" s="36" t="s">
        <v>1</v>
      </c>
      <c r="B166" s="22">
        <v>2938</v>
      </c>
      <c r="C166" s="113">
        <v>3851</v>
      </c>
      <c r="D166" s="22">
        <f t="shared" si="34"/>
        <v>6789</v>
      </c>
      <c r="E166" s="22">
        <v>3585</v>
      </c>
      <c r="F166" s="22">
        <v>541</v>
      </c>
      <c r="G166" s="22">
        <f t="shared" si="33"/>
        <v>4126</v>
      </c>
      <c r="H166" s="22">
        <v>14956</v>
      </c>
      <c r="I166" s="22">
        <v>0</v>
      </c>
      <c r="J166" s="22">
        <f t="shared" si="35"/>
        <v>14956</v>
      </c>
      <c r="K166" s="22">
        <v>291</v>
      </c>
      <c r="L166" s="22">
        <f t="shared" si="36"/>
        <v>26162</v>
      </c>
      <c r="M166" s="22">
        <v>1732</v>
      </c>
      <c r="N166" s="22">
        <v>0</v>
      </c>
      <c r="O166" s="22">
        <v>1351</v>
      </c>
      <c r="P166" s="24">
        <f t="shared" si="37"/>
        <v>3083</v>
      </c>
      <c r="Q166" s="21">
        <f t="shared" si="38"/>
        <v>29245</v>
      </c>
      <c r="R166" s="22">
        <v>66894</v>
      </c>
      <c r="S166" s="21">
        <f t="shared" si="39"/>
        <v>-37649</v>
      </c>
      <c r="T166" s="43" t="s">
        <v>1</v>
      </c>
    </row>
    <row r="167" spans="1:20" ht="30" hidden="1" customHeight="1" x14ac:dyDescent="0.25">
      <c r="A167" s="36" t="s">
        <v>2</v>
      </c>
      <c r="B167" s="22">
        <v>3332</v>
      </c>
      <c r="C167" s="113">
        <v>3979</v>
      </c>
      <c r="D167" s="22">
        <f t="shared" si="34"/>
        <v>7311</v>
      </c>
      <c r="E167" s="22">
        <v>3642</v>
      </c>
      <c r="F167" s="22">
        <v>1126</v>
      </c>
      <c r="G167" s="22">
        <f t="shared" si="33"/>
        <v>4768</v>
      </c>
      <c r="H167" s="22">
        <v>14533</v>
      </c>
      <c r="I167" s="22">
        <v>0</v>
      </c>
      <c r="J167" s="22">
        <f t="shared" si="35"/>
        <v>14533</v>
      </c>
      <c r="K167" s="22">
        <v>319</v>
      </c>
      <c r="L167" s="22">
        <f t="shared" si="36"/>
        <v>26931</v>
      </c>
      <c r="M167" s="22">
        <v>945</v>
      </c>
      <c r="N167" s="22">
        <v>0</v>
      </c>
      <c r="O167" s="22">
        <v>1392</v>
      </c>
      <c r="P167" s="24">
        <f t="shared" si="37"/>
        <v>2337</v>
      </c>
      <c r="Q167" s="21">
        <f t="shared" si="38"/>
        <v>29268</v>
      </c>
      <c r="R167" s="22">
        <v>46840</v>
      </c>
      <c r="S167" s="21">
        <f t="shared" si="39"/>
        <v>-17572</v>
      </c>
      <c r="T167" s="43" t="s">
        <v>2</v>
      </c>
    </row>
    <row r="168" spans="1:20" ht="30" hidden="1" customHeight="1" x14ac:dyDescent="0.25">
      <c r="A168" s="36" t="s">
        <v>36</v>
      </c>
      <c r="B168" s="22">
        <v>6767</v>
      </c>
      <c r="C168" s="113">
        <v>3689</v>
      </c>
      <c r="D168" s="22">
        <f t="shared" si="34"/>
        <v>10456</v>
      </c>
      <c r="E168" s="22">
        <v>3884</v>
      </c>
      <c r="F168" s="22">
        <v>720</v>
      </c>
      <c r="G168" s="22">
        <f t="shared" si="33"/>
        <v>4604</v>
      </c>
      <c r="H168" s="22">
        <v>14085</v>
      </c>
      <c r="I168" s="22">
        <v>0</v>
      </c>
      <c r="J168" s="22">
        <f t="shared" si="35"/>
        <v>14085</v>
      </c>
      <c r="K168" s="22">
        <v>382</v>
      </c>
      <c r="L168" s="22">
        <f t="shared" si="36"/>
        <v>29527</v>
      </c>
      <c r="M168" s="22">
        <v>400</v>
      </c>
      <c r="N168" s="22">
        <v>0</v>
      </c>
      <c r="O168" s="22">
        <v>1415</v>
      </c>
      <c r="P168" s="24">
        <f t="shared" si="37"/>
        <v>1815</v>
      </c>
      <c r="Q168" s="21">
        <f t="shared" si="38"/>
        <v>31342</v>
      </c>
      <c r="R168" s="22">
        <v>33317</v>
      </c>
      <c r="S168" s="21">
        <f t="shared" si="39"/>
        <v>-1975</v>
      </c>
      <c r="T168" s="43" t="s">
        <v>36</v>
      </c>
    </row>
    <row r="169" spans="1:20" ht="30" hidden="1" customHeight="1" x14ac:dyDescent="0.25">
      <c r="A169" s="36" t="s">
        <v>37</v>
      </c>
      <c r="B169" s="22">
        <f>SUM(B166:B168)</f>
        <v>13037</v>
      </c>
      <c r="C169" s="113">
        <f>SUM(C166:C168)</f>
        <v>11519</v>
      </c>
      <c r="D169" s="22">
        <f t="shared" si="34"/>
        <v>24556</v>
      </c>
      <c r="E169" s="22">
        <f>SUM(E166:E168)</f>
        <v>11111</v>
      </c>
      <c r="F169" s="22">
        <f>SUM(F166:F168)</f>
        <v>2387</v>
      </c>
      <c r="G169" s="22">
        <f t="shared" si="33"/>
        <v>13498</v>
      </c>
      <c r="H169" s="22">
        <f>SUM(H166:H168)</f>
        <v>43574</v>
      </c>
      <c r="I169" s="22">
        <f>SUM(I166:I168)</f>
        <v>0</v>
      </c>
      <c r="J169" s="22">
        <f t="shared" si="35"/>
        <v>43574</v>
      </c>
      <c r="K169" s="22">
        <f>SUM(K166:K168)</f>
        <v>992</v>
      </c>
      <c r="L169" s="22">
        <f t="shared" si="36"/>
        <v>82620</v>
      </c>
      <c r="M169" s="22">
        <f>SUM(M166:M168)</f>
        <v>3077</v>
      </c>
      <c r="N169" s="22">
        <f>SUM(N166:N168)</f>
        <v>0</v>
      </c>
      <c r="O169" s="22">
        <f>SUM(O166:O168)</f>
        <v>4158</v>
      </c>
      <c r="P169" s="24">
        <f t="shared" si="37"/>
        <v>7235</v>
      </c>
      <c r="Q169" s="21">
        <f t="shared" si="38"/>
        <v>89855</v>
      </c>
      <c r="R169" s="22">
        <f>SUM(R166:R168)</f>
        <v>147051</v>
      </c>
      <c r="S169" s="21">
        <f t="shared" si="39"/>
        <v>-57196</v>
      </c>
      <c r="T169" s="36" t="s">
        <v>37</v>
      </c>
    </row>
    <row r="170" spans="1:20" ht="30" hidden="1" customHeight="1" x14ac:dyDescent="0.25">
      <c r="A170" s="36" t="s">
        <v>38</v>
      </c>
      <c r="B170" s="22">
        <v>2467</v>
      </c>
      <c r="C170" s="113">
        <v>3428</v>
      </c>
      <c r="D170" s="22">
        <f t="shared" si="34"/>
        <v>5895</v>
      </c>
      <c r="E170" s="22">
        <v>4044</v>
      </c>
      <c r="F170" s="22">
        <v>849</v>
      </c>
      <c r="G170" s="22">
        <f t="shared" si="33"/>
        <v>4893</v>
      </c>
      <c r="H170" s="22">
        <v>14537</v>
      </c>
      <c r="I170" s="22">
        <v>0</v>
      </c>
      <c r="J170" s="22">
        <f t="shared" si="35"/>
        <v>14537</v>
      </c>
      <c r="K170" s="22">
        <v>357</v>
      </c>
      <c r="L170" s="22">
        <f t="shared" si="36"/>
        <v>25682</v>
      </c>
      <c r="M170" s="22">
        <v>1817</v>
      </c>
      <c r="N170" s="22"/>
      <c r="O170" s="22">
        <v>1555</v>
      </c>
      <c r="P170" s="24">
        <f t="shared" si="37"/>
        <v>3372</v>
      </c>
      <c r="Q170" s="21">
        <f t="shared" si="38"/>
        <v>29054</v>
      </c>
      <c r="R170" s="22">
        <v>54403</v>
      </c>
      <c r="S170" s="21">
        <f t="shared" si="39"/>
        <v>-25349</v>
      </c>
      <c r="T170" s="43" t="s">
        <v>38</v>
      </c>
    </row>
    <row r="171" spans="1:20" ht="30" hidden="1" customHeight="1" x14ac:dyDescent="0.25">
      <c r="A171" s="36" t="s">
        <v>39</v>
      </c>
      <c r="B171" s="22">
        <v>1568</v>
      </c>
      <c r="C171" s="113">
        <v>4221</v>
      </c>
      <c r="D171" s="22">
        <f t="shared" si="34"/>
        <v>5789</v>
      </c>
      <c r="E171" s="22">
        <v>3246</v>
      </c>
      <c r="F171" s="22">
        <v>1455</v>
      </c>
      <c r="G171" s="22">
        <f t="shared" si="33"/>
        <v>4701</v>
      </c>
      <c r="H171" s="22">
        <v>13919</v>
      </c>
      <c r="I171" s="22">
        <v>0</v>
      </c>
      <c r="J171" s="22">
        <f t="shared" si="35"/>
        <v>13919</v>
      </c>
      <c r="K171" s="22">
        <v>335</v>
      </c>
      <c r="L171" s="22">
        <f t="shared" si="36"/>
        <v>24744</v>
      </c>
      <c r="M171" s="22">
        <v>1240</v>
      </c>
      <c r="N171" s="22">
        <v>50</v>
      </c>
      <c r="O171" s="22">
        <v>1476</v>
      </c>
      <c r="P171" s="24">
        <f t="shared" si="37"/>
        <v>2766</v>
      </c>
      <c r="Q171" s="21">
        <f t="shared" si="38"/>
        <v>27510</v>
      </c>
      <c r="R171" s="22">
        <v>43200</v>
      </c>
      <c r="S171" s="21">
        <f t="shared" si="39"/>
        <v>-15690</v>
      </c>
      <c r="T171" s="76" t="s">
        <v>39</v>
      </c>
    </row>
    <row r="172" spans="1:20" ht="30" hidden="1" customHeight="1" x14ac:dyDescent="0.25">
      <c r="A172" s="36" t="s">
        <v>40</v>
      </c>
      <c r="B172" s="22">
        <v>8403</v>
      </c>
      <c r="C172" s="113">
        <v>4177</v>
      </c>
      <c r="D172" s="22">
        <f t="shared" si="34"/>
        <v>12580</v>
      </c>
      <c r="E172" s="22">
        <v>4727</v>
      </c>
      <c r="F172" s="22">
        <v>819</v>
      </c>
      <c r="G172" s="22">
        <f t="shared" si="33"/>
        <v>5546</v>
      </c>
      <c r="H172" s="22">
        <v>14226</v>
      </c>
      <c r="I172" s="22">
        <v>0</v>
      </c>
      <c r="J172" s="22">
        <f t="shared" si="35"/>
        <v>14226</v>
      </c>
      <c r="K172" s="22">
        <v>427</v>
      </c>
      <c r="L172" s="22">
        <f t="shared" si="36"/>
        <v>32779</v>
      </c>
      <c r="M172" s="22">
        <v>1378</v>
      </c>
      <c r="N172" s="22"/>
      <c r="O172" s="22">
        <v>1655</v>
      </c>
      <c r="P172" s="24">
        <f t="shared" si="37"/>
        <v>3033</v>
      </c>
      <c r="Q172" s="21">
        <f t="shared" si="38"/>
        <v>35812</v>
      </c>
      <c r="R172" s="22">
        <v>36280</v>
      </c>
      <c r="S172" s="21">
        <f t="shared" si="39"/>
        <v>-468</v>
      </c>
      <c r="T172" s="76" t="s">
        <v>40</v>
      </c>
    </row>
    <row r="173" spans="1:20" s="1" customFormat="1" ht="30" hidden="1" customHeight="1" x14ac:dyDescent="0.25">
      <c r="A173" s="36" t="s">
        <v>41</v>
      </c>
      <c r="B173" s="22">
        <f>SUM(B170:B172)</f>
        <v>12438</v>
      </c>
      <c r="C173" s="113">
        <f>SUM(C170:C172)</f>
        <v>11826</v>
      </c>
      <c r="D173" s="22">
        <f t="shared" si="34"/>
        <v>24264</v>
      </c>
      <c r="E173" s="22">
        <f>SUM(E170:E172)</f>
        <v>12017</v>
      </c>
      <c r="F173" s="22">
        <f>SUM(F170:F172)</f>
        <v>3123</v>
      </c>
      <c r="G173" s="22">
        <f t="shared" si="33"/>
        <v>15140</v>
      </c>
      <c r="H173" s="22">
        <f>SUM(H170:H172)</f>
        <v>42682</v>
      </c>
      <c r="I173" s="22">
        <f>SUM(I170:I172)</f>
        <v>0</v>
      </c>
      <c r="J173" s="22">
        <f t="shared" si="35"/>
        <v>42682</v>
      </c>
      <c r="K173" s="22">
        <f>SUM(K170:K172)</f>
        <v>1119</v>
      </c>
      <c r="L173" s="22">
        <f t="shared" si="36"/>
        <v>83205</v>
      </c>
      <c r="M173" s="22">
        <f>SUM(M170:M172)</f>
        <v>4435</v>
      </c>
      <c r="N173" s="22">
        <f>SUM(N170:N172)</f>
        <v>50</v>
      </c>
      <c r="O173" s="22">
        <f>SUM(O170:O172)</f>
        <v>4686</v>
      </c>
      <c r="P173" s="24">
        <f t="shared" si="37"/>
        <v>9171</v>
      </c>
      <c r="Q173" s="21">
        <f t="shared" si="38"/>
        <v>92376</v>
      </c>
      <c r="R173" s="22">
        <f>SUM(R170:R172)</f>
        <v>133883</v>
      </c>
      <c r="S173" s="21">
        <f t="shared" si="39"/>
        <v>-41507</v>
      </c>
      <c r="T173" s="36" t="s">
        <v>41</v>
      </c>
    </row>
    <row r="174" spans="1:20" s="1" customFormat="1" ht="30" hidden="1" customHeight="1" x14ac:dyDescent="0.25">
      <c r="A174" s="36"/>
      <c r="B174" s="22">
        <f>B161+B165+B169+B173</f>
        <v>47620</v>
      </c>
      <c r="C174" s="22">
        <f>C161+C165+C169+C173</f>
        <v>46340</v>
      </c>
      <c r="D174" s="22">
        <f>D161+D165+D169+D173</f>
        <v>93960</v>
      </c>
      <c r="E174" s="22">
        <f>E161+E165+E169+E173</f>
        <v>45800</v>
      </c>
      <c r="F174" s="22">
        <f>F161+F165+F169+F173</f>
        <v>9655</v>
      </c>
      <c r="G174" s="22">
        <f t="shared" ref="G174:S174" si="40">G161+G165+G169+G173</f>
        <v>55455</v>
      </c>
      <c r="H174" s="22">
        <f t="shared" si="40"/>
        <v>166136</v>
      </c>
      <c r="I174" s="22">
        <f t="shared" si="40"/>
        <v>0</v>
      </c>
      <c r="J174" s="22">
        <f t="shared" si="40"/>
        <v>166136</v>
      </c>
      <c r="K174" s="22">
        <f t="shared" si="40"/>
        <v>3716</v>
      </c>
      <c r="L174" s="22">
        <f t="shared" si="40"/>
        <v>319267</v>
      </c>
      <c r="M174" s="22">
        <f t="shared" si="40"/>
        <v>18491</v>
      </c>
      <c r="N174" s="22">
        <f t="shared" si="40"/>
        <v>2355</v>
      </c>
      <c r="O174" s="22">
        <f t="shared" si="40"/>
        <v>16853</v>
      </c>
      <c r="P174" s="22">
        <f t="shared" si="40"/>
        <v>37699</v>
      </c>
      <c r="Q174" s="22">
        <f t="shared" si="40"/>
        <v>356966</v>
      </c>
      <c r="R174" s="22">
        <f t="shared" si="40"/>
        <v>555045</v>
      </c>
      <c r="S174" s="22">
        <f t="shared" si="40"/>
        <v>-198079</v>
      </c>
      <c r="T174" s="36"/>
    </row>
    <row r="175" spans="1:20" ht="30" hidden="1" customHeight="1" x14ac:dyDescent="0.25">
      <c r="A175" s="36">
        <v>2005</v>
      </c>
      <c r="B175" s="22"/>
      <c r="C175" s="113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4"/>
      <c r="Q175" s="21"/>
      <c r="R175" s="22"/>
      <c r="S175" s="21"/>
      <c r="T175" s="36">
        <v>2005</v>
      </c>
    </row>
    <row r="176" spans="1:20" ht="30" hidden="1" customHeight="1" x14ac:dyDescent="0.25">
      <c r="A176" s="36" t="s">
        <v>32</v>
      </c>
      <c r="B176" s="22">
        <v>14031</v>
      </c>
      <c r="C176" s="113">
        <v>11473</v>
      </c>
      <c r="D176" s="22">
        <f>B176+C176</f>
        <v>25504</v>
      </c>
      <c r="E176" s="22">
        <v>12137</v>
      </c>
      <c r="F176" s="22">
        <v>3386</v>
      </c>
      <c r="G176" s="22">
        <f>E176+F176</f>
        <v>15523</v>
      </c>
      <c r="H176" s="22">
        <v>35519</v>
      </c>
      <c r="I176" s="22">
        <v>0</v>
      </c>
      <c r="J176" s="22">
        <f>H176+I176</f>
        <v>35519</v>
      </c>
      <c r="K176" s="22">
        <v>990</v>
      </c>
      <c r="L176" s="22">
        <f>K176+J176+G176+D176</f>
        <v>77536</v>
      </c>
      <c r="M176" s="22">
        <v>6922</v>
      </c>
      <c r="N176" s="22">
        <v>0</v>
      </c>
      <c r="O176" s="22">
        <v>5887</v>
      </c>
      <c r="P176" s="24">
        <f>O176+N176+M176</f>
        <v>12809</v>
      </c>
      <c r="Q176" s="21">
        <f>P176+L176</f>
        <v>90345</v>
      </c>
      <c r="R176" s="22">
        <v>133329</v>
      </c>
      <c r="S176" s="21">
        <f>Q176-R176</f>
        <v>-42984</v>
      </c>
      <c r="T176" s="36" t="s">
        <v>32</v>
      </c>
    </row>
    <row r="177" spans="1:20" ht="30" hidden="1" customHeight="1" x14ac:dyDescent="0.25">
      <c r="A177" s="36" t="s">
        <v>35</v>
      </c>
      <c r="B177" s="22">
        <v>13865</v>
      </c>
      <c r="C177" s="113">
        <v>11679</v>
      </c>
      <c r="D177" s="22">
        <f>B177+C177</f>
        <v>25544</v>
      </c>
      <c r="E177" s="22">
        <v>13811</v>
      </c>
      <c r="F177" s="22">
        <v>3587</v>
      </c>
      <c r="G177" s="22">
        <f>E177+F177</f>
        <v>17398</v>
      </c>
      <c r="H177" s="22">
        <v>27696</v>
      </c>
      <c r="I177" s="22">
        <v>0</v>
      </c>
      <c r="J177" s="22">
        <f>H177+I177</f>
        <v>27696</v>
      </c>
      <c r="K177" s="22">
        <v>1107</v>
      </c>
      <c r="L177" s="22">
        <f>K177+J177+G177+D177</f>
        <v>71745</v>
      </c>
      <c r="M177" s="22">
        <v>9611</v>
      </c>
      <c r="N177" s="22">
        <v>7026</v>
      </c>
      <c r="O177" s="22">
        <v>7102</v>
      </c>
      <c r="P177" s="24">
        <f>O177+N177+M177</f>
        <v>23739</v>
      </c>
      <c r="Q177" s="21">
        <f>P177+L177</f>
        <v>95484</v>
      </c>
      <c r="R177" s="22">
        <v>150453</v>
      </c>
      <c r="S177" s="21">
        <f>Q177-R177</f>
        <v>-54969</v>
      </c>
      <c r="T177" s="36" t="s">
        <v>35</v>
      </c>
    </row>
    <row r="178" spans="1:20" ht="30" hidden="1" customHeight="1" x14ac:dyDescent="0.25">
      <c r="A178" s="36" t="s">
        <v>37</v>
      </c>
      <c r="B178" s="22">
        <v>20840</v>
      </c>
      <c r="C178" s="113">
        <v>13257</v>
      </c>
      <c r="D178" s="22">
        <f>B178+C178</f>
        <v>34097</v>
      </c>
      <c r="E178" s="22">
        <v>10616</v>
      </c>
      <c r="F178" s="22">
        <v>3898</v>
      </c>
      <c r="G178" s="22">
        <f>E178+F178</f>
        <v>14514</v>
      </c>
      <c r="H178" s="22">
        <v>43985</v>
      </c>
      <c r="I178" s="22">
        <v>0</v>
      </c>
      <c r="J178" s="22">
        <f>H178+I178</f>
        <v>43985</v>
      </c>
      <c r="K178" s="22">
        <v>1191</v>
      </c>
      <c r="L178" s="22">
        <f>K178+J178+G178+D178</f>
        <v>93787</v>
      </c>
      <c r="M178" s="22">
        <v>10169</v>
      </c>
      <c r="N178" s="22">
        <v>0</v>
      </c>
      <c r="O178" s="22">
        <v>5737</v>
      </c>
      <c r="P178" s="24">
        <f>O178+N178+M178</f>
        <v>15906</v>
      </c>
      <c r="Q178" s="21">
        <f>P178+L178</f>
        <v>109693</v>
      </c>
      <c r="R178" s="22">
        <v>163668</v>
      </c>
      <c r="S178" s="21">
        <f>Q178-R178</f>
        <v>-53975</v>
      </c>
      <c r="T178" s="36" t="s">
        <v>37</v>
      </c>
    </row>
    <row r="179" spans="1:20" ht="30" hidden="1" customHeight="1" x14ac:dyDescent="0.25">
      <c r="A179" s="36" t="s">
        <v>41</v>
      </c>
      <c r="B179" s="22">
        <v>12959</v>
      </c>
      <c r="C179" s="113">
        <v>12050</v>
      </c>
      <c r="D179" s="22">
        <f>B179+C179</f>
        <v>25009</v>
      </c>
      <c r="E179" s="22">
        <v>13425</v>
      </c>
      <c r="F179" s="22">
        <v>2836</v>
      </c>
      <c r="G179" s="22">
        <f>E179+F179</f>
        <v>16261</v>
      </c>
      <c r="H179" s="22">
        <v>50172</v>
      </c>
      <c r="I179" s="22">
        <v>0</v>
      </c>
      <c r="J179" s="22">
        <f>H179+I179</f>
        <v>50172</v>
      </c>
      <c r="K179" s="22">
        <v>1100</v>
      </c>
      <c r="L179" s="22">
        <f>K179+J179+G179+D179</f>
        <v>92542</v>
      </c>
      <c r="M179" s="22">
        <v>7579</v>
      </c>
      <c r="N179" s="22">
        <v>321</v>
      </c>
      <c r="O179" s="22">
        <v>5210</v>
      </c>
      <c r="P179" s="24">
        <f>O179+N179+M179</f>
        <v>13110</v>
      </c>
      <c r="Q179" s="21">
        <f>P179+L179</f>
        <v>105652</v>
      </c>
      <c r="R179" s="22">
        <v>173278</v>
      </c>
      <c r="S179" s="21">
        <f>Q179-R179</f>
        <v>-67626</v>
      </c>
      <c r="T179" s="36" t="s">
        <v>41</v>
      </c>
    </row>
    <row r="180" spans="1:20" ht="30" hidden="1" customHeight="1" x14ac:dyDescent="0.25">
      <c r="A180" s="36">
        <v>2005</v>
      </c>
      <c r="B180" s="35"/>
      <c r="C180" s="118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6">
        <v>2005</v>
      </c>
    </row>
    <row r="181" spans="1:20" ht="30" hidden="1" customHeight="1" x14ac:dyDescent="0.25">
      <c r="A181" s="36" t="s">
        <v>30</v>
      </c>
      <c r="B181" s="22">
        <v>1904</v>
      </c>
      <c r="C181" s="113">
        <v>3494</v>
      </c>
      <c r="D181" s="22">
        <f t="shared" ref="D181:D192" si="41">B181+C181</f>
        <v>5398</v>
      </c>
      <c r="E181" s="22">
        <v>3412</v>
      </c>
      <c r="F181" s="22">
        <v>1295</v>
      </c>
      <c r="G181" s="22">
        <f t="shared" ref="G181:G192" si="42">E181+F181</f>
        <v>4707</v>
      </c>
      <c r="H181" s="22">
        <v>12145</v>
      </c>
      <c r="I181" s="22">
        <v>0</v>
      </c>
      <c r="J181" s="22">
        <f t="shared" ref="J181:J192" si="43">H181+I181</f>
        <v>12145</v>
      </c>
      <c r="K181" s="22">
        <v>127</v>
      </c>
      <c r="L181" s="22">
        <f t="shared" ref="L181:L192" si="44">D181+G181+J181+K181</f>
        <v>22377</v>
      </c>
      <c r="M181" s="22">
        <v>2208</v>
      </c>
      <c r="N181" s="22">
        <v>0</v>
      </c>
      <c r="O181" s="22">
        <v>1672</v>
      </c>
      <c r="P181" s="22">
        <f t="shared" ref="P181:P192" si="45">M181+N181+O181</f>
        <v>3880</v>
      </c>
      <c r="Q181" s="22">
        <f t="shared" ref="Q181:Q192" si="46">L181+P181</f>
        <v>26257</v>
      </c>
      <c r="R181" s="22">
        <v>45059</v>
      </c>
      <c r="S181" s="22">
        <f t="shared" ref="S181:S192" si="47">Q181-R181</f>
        <v>-18802</v>
      </c>
      <c r="T181" s="77" t="s">
        <v>30</v>
      </c>
    </row>
    <row r="182" spans="1:20" ht="30" hidden="1" customHeight="1" x14ac:dyDescent="0.25">
      <c r="A182" s="36" t="s">
        <v>31</v>
      </c>
      <c r="B182" s="22">
        <v>1573</v>
      </c>
      <c r="C182" s="113">
        <v>4376</v>
      </c>
      <c r="D182" s="22">
        <f t="shared" si="41"/>
        <v>5949</v>
      </c>
      <c r="E182" s="22">
        <v>4116</v>
      </c>
      <c r="F182" s="22">
        <v>1146</v>
      </c>
      <c r="G182" s="22">
        <f t="shared" si="42"/>
        <v>5262</v>
      </c>
      <c r="H182" s="22">
        <v>10318</v>
      </c>
      <c r="I182" s="22">
        <v>0</v>
      </c>
      <c r="J182" s="22">
        <f t="shared" si="43"/>
        <v>10318</v>
      </c>
      <c r="K182" s="22">
        <v>314</v>
      </c>
      <c r="L182" s="22">
        <f t="shared" si="44"/>
        <v>21843</v>
      </c>
      <c r="M182" s="22">
        <v>2651</v>
      </c>
      <c r="N182" s="22">
        <v>0</v>
      </c>
      <c r="O182" s="22">
        <v>2058</v>
      </c>
      <c r="P182" s="22">
        <f t="shared" si="45"/>
        <v>4709</v>
      </c>
      <c r="Q182" s="22">
        <f t="shared" si="46"/>
        <v>26552</v>
      </c>
      <c r="R182" s="22">
        <v>45002</v>
      </c>
      <c r="S182" s="22">
        <f t="shared" si="47"/>
        <v>-18450</v>
      </c>
      <c r="T182" s="77" t="s">
        <v>31</v>
      </c>
    </row>
    <row r="183" spans="1:20" ht="30" hidden="1" customHeight="1" x14ac:dyDescent="0.25">
      <c r="A183" s="36" t="s">
        <v>3</v>
      </c>
      <c r="B183" s="22">
        <v>10554</v>
      </c>
      <c r="C183" s="113">
        <v>3603</v>
      </c>
      <c r="D183" s="22">
        <f t="shared" si="41"/>
        <v>14157</v>
      </c>
      <c r="E183" s="22">
        <v>4609</v>
      </c>
      <c r="F183" s="22">
        <v>945</v>
      </c>
      <c r="G183" s="22">
        <f t="shared" si="42"/>
        <v>5554</v>
      </c>
      <c r="H183" s="22">
        <v>13056</v>
      </c>
      <c r="I183" s="22">
        <v>0</v>
      </c>
      <c r="J183" s="22">
        <f t="shared" si="43"/>
        <v>13056</v>
      </c>
      <c r="K183" s="22">
        <v>549</v>
      </c>
      <c r="L183" s="22">
        <f t="shared" si="44"/>
        <v>33316</v>
      </c>
      <c r="M183" s="22">
        <v>2063</v>
      </c>
      <c r="N183" s="22">
        <v>0</v>
      </c>
      <c r="O183" s="22">
        <v>2157</v>
      </c>
      <c r="P183" s="22">
        <f t="shared" si="45"/>
        <v>4220</v>
      </c>
      <c r="Q183" s="22">
        <f t="shared" si="46"/>
        <v>37536</v>
      </c>
      <c r="R183" s="22">
        <v>43268</v>
      </c>
      <c r="S183" s="22">
        <f t="shared" si="47"/>
        <v>-5732</v>
      </c>
      <c r="T183" s="77" t="s">
        <v>3</v>
      </c>
    </row>
    <row r="184" spans="1:20" ht="30" hidden="1" customHeight="1" x14ac:dyDescent="0.25">
      <c r="A184" s="36" t="s">
        <v>33</v>
      </c>
      <c r="B184" s="22">
        <v>1480</v>
      </c>
      <c r="C184" s="113">
        <v>3893</v>
      </c>
      <c r="D184" s="22">
        <f t="shared" si="41"/>
        <v>5373</v>
      </c>
      <c r="E184" s="22">
        <v>4152</v>
      </c>
      <c r="F184" s="22">
        <v>1135</v>
      </c>
      <c r="G184" s="22">
        <f t="shared" si="42"/>
        <v>5287</v>
      </c>
      <c r="H184" s="22">
        <v>11526</v>
      </c>
      <c r="I184" s="22">
        <v>0</v>
      </c>
      <c r="J184" s="22">
        <f t="shared" si="43"/>
        <v>11526</v>
      </c>
      <c r="K184" s="22">
        <v>350</v>
      </c>
      <c r="L184" s="22">
        <f t="shared" si="44"/>
        <v>22536</v>
      </c>
      <c r="M184" s="22">
        <v>3791</v>
      </c>
      <c r="N184" s="22">
        <v>0</v>
      </c>
      <c r="O184" s="22">
        <v>2408</v>
      </c>
      <c r="P184" s="22">
        <f t="shared" si="45"/>
        <v>6199</v>
      </c>
      <c r="Q184" s="22">
        <f t="shared" si="46"/>
        <v>28735</v>
      </c>
      <c r="R184" s="22">
        <v>43553</v>
      </c>
      <c r="S184" s="22">
        <f t="shared" si="47"/>
        <v>-14818</v>
      </c>
      <c r="T184" s="77" t="s">
        <v>33</v>
      </c>
    </row>
    <row r="185" spans="1:20" ht="30" hidden="1" customHeight="1" x14ac:dyDescent="0.25">
      <c r="A185" s="36" t="s">
        <v>34</v>
      </c>
      <c r="B185" s="22">
        <v>2462</v>
      </c>
      <c r="C185" s="113">
        <v>3893</v>
      </c>
      <c r="D185" s="22">
        <f t="shared" si="41"/>
        <v>6355</v>
      </c>
      <c r="E185" s="22">
        <v>4844</v>
      </c>
      <c r="F185" s="22">
        <v>1449</v>
      </c>
      <c r="G185" s="22">
        <f t="shared" si="42"/>
        <v>6293</v>
      </c>
      <c r="H185" s="22">
        <v>14520</v>
      </c>
      <c r="I185" s="35">
        <v>0</v>
      </c>
      <c r="J185" s="22">
        <f t="shared" si="43"/>
        <v>14520</v>
      </c>
      <c r="K185" s="22">
        <v>387</v>
      </c>
      <c r="L185" s="22">
        <f t="shared" si="44"/>
        <v>27555</v>
      </c>
      <c r="M185" s="22">
        <v>2304</v>
      </c>
      <c r="N185" s="22">
        <v>0</v>
      </c>
      <c r="O185" s="22">
        <v>2393</v>
      </c>
      <c r="P185" s="22">
        <f t="shared" si="45"/>
        <v>4697</v>
      </c>
      <c r="Q185" s="22">
        <f t="shared" si="46"/>
        <v>32252</v>
      </c>
      <c r="R185" s="22">
        <v>66961</v>
      </c>
      <c r="S185" s="22">
        <f t="shared" si="47"/>
        <v>-34709</v>
      </c>
      <c r="T185" s="77" t="s">
        <v>34</v>
      </c>
    </row>
    <row r="186" spans="1:20" ht="30" hidden="1" customHeight="1" x14ac:dyDescent="0.25">
      <c r="A186" s="36" t="s">
        <v>0</v>
      </c>
      <c r="B186" s="22">
        <v>9923</v>
      </c>
      <c r="C186" s="113">
        <v>3893</v>
      </c>
      <c r="D186" s="22">
        <f t="shared" si="41"/>
        <v>13816</v>
      </c>
      <c r="E186" s="22">
        <v>4815</v>
      </c>
      <c r="F186" s="22">
        <v>1003</v>
      </c>
      <c r="G186" s="22">
        <f t="shared" si="42"/>
        <v>5818</v>
      </c>
      <c r="H186" s="22">
        <v>16560</v>
      </c>
      <c r="I186" s="35">
        <v>0</v>
      </c>
      <c r="J186" s="22">
        <f t="shared" si="43"/>
        <v>16560</v>
      </c>
      <c r="K186" s="22">
        <v>270</v>
      </c>
      <c r="L186" s="22">
        <f t="shared" si="44"/>
        <v>36464</v>
      </c>
      <c r="M186" s="22">
        <v>3516</v>
      </c>
      <c r="N186" s="22">
        <v>7026</v>
      </c>
      <c r="O186" s="22">
        <v>2301</v>
      </c>
      <c r="P186" s="22">
        <f t="shared" si="45"/>
        <v>12843</v>
      </c>
      <c r="Q186" s="22">
        <f t="shared" si="46"/>
        <v>49307</v>
      </c>
      <c r="R186" s="22">
        <v>39939</v>
      </c>
      <c r="S186" s="22">
        <f t="shared" si="47"/>
        <v>9368</v>
      </c>
      <c r="T186" s="77" t="s">
        <v>0</v>
      </c>
    </row>
    <row r="187" spans="1:20" ht="30" hidden="1" customHeight="1" x14ac:dyDescent="0.25">
      <c r="A187" s="36" t="s">
        <v>1</v>
      </c>
      <c r="B187" s="22">
        <v>3833.8408140000001</v>
      </c>
      <c r="C187" s="113">
        <v>4078.2923450000008</v>
      </c>
      <c r="D187" s="22">
        <f t="shared" si="41"/>
        <v>7912.1331590000009</v>
      </c>
      <c r="E187" s="22">
        <v>3863</v>
      </c>
      <c r="F187" s="22">
        <v>725</v>
      </c>
      <c r="G187" s="22">
        <f t="shared" si="42"/>
        <v>4588</v>
      </c>
      <c r="H187" s="22">
        <v>15160</v>
      </c>
      <c r="I187" s="22">
        <v>0</v>
      </c>
      <c r="J187" s="22">
        <f t="shared" si="43"/>
        <v>15160</v>
      </c>
      <c r="K187" s="22">
        <v>485.17707599999994</v>
      </c>
      <c r="L187" s="22">
        <f t="shared" si="44"/>
        <v>28145.310235000001</v>
      </c>
      <c r="M187" s="22">
        <v>3462</v>
      </c>
      <c r="N187" s="22">
        <v>0</v>
      </c>
      <c r="O187" s="22">
        <v>1940.6759999999999</v>
      </c>
      <c r="P187" s="22">
        <f t="shared" si="45"/>
        <v>5402.6759999999995</v>
      </c>
      <c r="Q187" s="22">
        <f t="shared" si="46"/>
        <v>33547.986235000004</v>
      </c>
      <c r="R187" s="22">
        <v>50160.122097800006</v>
      </c>
      <c r="S187" s="22">
        <f t="shared" si="47"/>
        <v>-16612.135862800002</v>
      </c>
      <c r="T187" s="77" t="s">
        <v>1</v>
      </c>
    </row>
    <row r="188" spans="1:20" ht="30" hidden="1" customHeight="1" x14ac:dyDescent="0.25">
      <c r="A188" s="36" t="s">
        <v>2</v>
      </c>
      <c r="B188" s="22">
        <v>3876.3994379999999</v>
      </c>
      <c r="C188" s="113">
        <v>3861.1309521700009</v>
      </c>
      <c r="D188" s="22">
        <f t="shared" si="41"/>
        <v>7737.5303901700008</v>
      </c>
      <c r="E188" s="22">
        <v>3734</v>
      </c>
      <c r="F188" s="22">
        <v>2092</v>
      </c>
      <c r="G188" s="22">
        <f t="shared" si="42"/>
        <v>5826</v>
      </c>
      <c r="H188" s="22">
        <v>14520</v>
      </c>
      <c r="I188" s="22">
        <v>0</v>
      </c>
      <c r="J188" s="22">
        <f t="shared" si="43"/>
        <v>14520</v>
      </c>
      <c r="K188" s="22">
        <v>278.549149</v>
      </c>
      <c r="L188" s="22">
        <f t="shared" si="44"/>
        <v>28362.079539170001</v>
      </c>
      <c r="M188" s="22">
        <v>2877</v>
      </c>
      <c r="N188" s="22">
        <v>0</v>
      </c>
      <c r="O188" s="22">
        <v>1952.627</v>
      </c>
      <c r="P188" s="22">
        <f t="shared" si="45"/>
        <v>4829.6270000000004</v>
      </c>
      <c r="Q188" s="22">
        <f t="shared" si="46"/>
        <v>33191.706539170002</v>
      </c>
      <c r="R188" s="22">
        <v>65580.659996819988</v>
      </c>
      <c r="S188" s="22">
        <f t="shared" si="47"/>
        <v>-32388.953457649986</v>
      </c>
      <c r="T188" s="77" t="s">
        <v>2</v>
      </c>
    </row>
    <row r="189" spans="1:20" ht="30" hidden="1" customHeight="1" x14ac:dyDescent="0.25">
      <c r="A189" s="36" t="s">
        <v>36</v>
      </c>
      <c r="B189" s="22">
        <v>13130.353576540001</v>
      </c>
      <c r="C189" s="113">
        <v>5317.6983016700033</v>
      </c>
      <c r="D189" s="22">
        <f t="shared" si="41"/>
        <v>18448.051878210004</v>
      </c>
      <c r="E189" s="22">
        <v>3019</v>
      </c>
      <c r="F189" s="22">
        <v>1081</v>
      </c>
      <c r="G189" s="22">
        <f t="shared" si="42"/>
        <v>4100</v>
      </c>
      <c r="H189" s="22">
        <v>14305</v>
      </c>
      <c r="I189" s="22">
        <v>0</v>
      </c>
      <c r="J189" s="22">
        <f t="shared" si="43"/>
        <v>14305</v>
      </c>
      <c r="K189" s="22">
        <v>426.71338700000001</v>
      </c>
      <c r="L189" s="22">
        <f t="shared" si="44"/>
        <v>37279.765265210008</v>
      </c>
      <c r="M189" s="22">
        <v>3830</v>
      </c>
      <c r="N189" s="22">
        <v>0</v>
      </c>
      <c r="O189" s="22">
        <v>1843.0350000000001</v>
      </c>
      <c r="P189" s="22">
        <f t="shared" si="45"/>
        <v>5673.0349999999999</v>
      </c>
      <c r="Q189" s="22">
        <f t="shared" si="46"/>
        <v>42952.800265210011</v>
      </c>
      <c r="R189" s="22">
        <v>47927</v>
      </c>
      <c r="S189" s="22">
        <f t="shared" si="47"/>
        <v>-4974.1997347899887</v>
      </c>
      <c r="T189" s="77" t="s">
        <v>36</v>
      </c>
    </row>
    <row r="190" spans="1:20" ht="30" hidden="1" customHeight="1" x14ac:dyDescent="0.25">
      <c r="A190" s="36" t="s">
        <v>38</v>
      </c>
      <c r="B190" s="22">
        <v>2326.8371052299999</v>
      </c>
      <c r="C190" s="113">
        <v>3768.5393817499998</v>
      </c>
      <c r="D190" s="22">
        <f t="shared" si="41"/>
        <v>6095.3764869799998</v>
      </c>
      <c r="E190" s="22">
        <v>3900</v>
      </c>
      <c r="F190" s="22">
        <v>697.05480964000003</v>
      </c>
      <c r="G190" s="22">
        <f t="shared" si="42"/>
        <v>4597.0548096399998</v>
      </c>
      <c r="H190" s="22">
        <v>15112</v>
      </c>
      <c r="I190" s="22">
        <v>0</v>
      </c>
      <c r="J190" s="22">
        <f t="shared" si="43"/>
        <v>15112</v>
      </c>
      <c r="K190" s="22">
        <v>330.11457300000001</v>
      </c>
      <c r="L190" s="22">
        <f t="shared" si="44"/>
        <v>26134.54586962</v>
      </c>
      <c r="M190" s="22">
        <v>1460</v>
      </c>
      <c r="N190" s="22">
        <v>321.16645109000001</v>
      </c>
      <c r="O190" s="22">
        <v>1727.085</v>
      </c>
      <c r="P190" s="22">
        <f t="shared" si="45"/>
        <v>3508.25145109</v>
      </c>
      <c r="Q190" s="22">
        <f t="shared" si="46"/>
        <v>29642.79732071</v>
      </c>
      <c r="R190" s="22">
        <v>59378</v>
      </c>
      <c r="S190" s="22">
        <f t="shared" si="47"/>
        <v>-29735.20267929</v>
      </c>
      <c r="T190" s="77" t="s">
        <v>38</v>
      </c>
    </row>
    <row r="191" spans="1:20" ht="30" hidden="1" customHeight="1" x14ac:dyDescent="0.25">
      <c r="A191" s="36" t="s">
        <v>39</v>
      </c>
      <c r="B191" s="22">
        <v>1739.7344349499999</v>
      </c>
      <c r="C191" s="113">
        <v>4015.6837132500004</v>
      </c>
      <c r="D191" s="22">
        <f t="shared" si="41"/>
        <v>5755.4181482000004</v>
      </c>
      <c r="E191" s="22">
        <v>4279</v>
      </c>
      <c r="F191" s="22">
        <v>580.74798448000001</v>
      </c>
      <c r="G191" s="22">
        <f t="shared" si="42"/>
        <v>4859.74798448</v>
      </c>
      <c r="H191" s="22">
        <v>15739</v>
      </c>
      <c r="I191" s="35">
        <v>0</v>
      </c>
      <c r="J191" s="22">
        <f t="shared" si="43"/>
        <v>15739</v>
      </c>
      <c r="K191" s="22">
        <v>239.36481200000003</v>
      </c>
      <c r="L191" s="22">
        <f t="shared" si="44"/>
        <v>26593.530944680002</v>
      </c>
      <c r="M191" s="22">
        <v>2005</v>
      </c>
      <c r="N191" s="22">
        <v>0</v>
      </c>
      <c r="O191" s="22">
        <v>1706.8889999999999</v>
      </c>
      <c r="P191" s="22">
        <f t="shared" si="45"/>
        <v>3711.8890000000001</v>
      </c>
      <c r="Q191" s="22">
        <f t="shared" si="46"/>
        <v>30305.419944680001</v>
      </c>
      <c r="R191" s="22">
        <v>51627</v>
      </c>
      <c r="S191" s="22">
        <f t="shared" si="47"/>
        <v>-21321.580055319999</v>
      </c>
      <c r="T191" s="77" t="s">
        <v>39</v>
      </c>
    </row>
    <row r="192" spans="1:20" ht="30" hidden="1" customHeight="1" x14ac:dyDescent="0.25">
      <c r="A192" s="36" t="s">
        <v>40</v>
      </c>
      <c r="B192" s="22">
        <v>8892</v>
      </c>
      <c r="C192" s="113">
        <v>4265</v>
      </c>
      <c r="D192" s="22">
        <f t="shared" si="41"/>
        <v>13157</v>
      </c>
      <c r="E192" s="22">
        <v>5246</v>
      </c>
      <c r="F192" s="22">
        <v>1558.28257897</v>
      </c>
      <c r="G192" s="22">
        <f t="shared" si="42"/>
        <v>6804.28257897</v>
      </c>
      <c r="H192" s="22">
        <v>19321</v>
      </c>
      <c r="I192" s="35">
        <v>0</v>
      </c>
      <c r="J192" s="22">
        <f t="shared" si="43"/>
        <v>19321</v>
      </c>
      <c r="K192" s="22">
        <v>530.66155424999988</v>
      </c>
      <c r="L192" s="22">
        <f t="shared" si="44"/>
        <v>39812.94413322</v>
      </c>
      <c r="M192" s="22">
        <v>4114</v>
      </c>
      <c r="N192" s="22">
        <v>0</v>
      </c>
      <c r="O192" s="22">
        <v>1775.7270000000001</v>
      </c>
      <c r="P192" s="22">
        <f t="shared" si="45"/>
        <v>5889.7269999999999</v>
      </c>
      <c r="Q192" s="22">
        <f t="shared" si="46"/>
        <v>45702.671133219999</v>
      </c>
      <c r="R192" s="22">
        <v>62273</v>
      </c>
      <c r="S192" s="22">
        <f t="shared" si="47"/>
        <v>-16570.328866780001</v>
      </c>
      <c r="T192" s="77" t="s">
        <v>40</v>
      </c>
    </row>
    <row r="193" spans="1:20" ht="30" hidden="1" customHeight="1" x14ac:dyDescent="0.25">
      <c r="A193" s="36" t="s">
        <v>68</v>
      </c>
      <c r="B193" s="22"/>
      <c r="C193" s="113"/>
      <c r="D193" s="22"/>
      <c r="E193" s="22"/>
      <c r="F193" s="22"/>
      <c r="G193" s="22"/>
      <c r="H193" s="22"/>
      <c r="I193" s="35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77"/>
    </row>
    <row r="194" spans="1:20" ht="30" hidden="1" customHeight="1" thickBot="1" x14ac:dyDescent="0.3">
      <c r="A194" s="36"/>
      <c r="B194" s="22"/>
      <c r="C194" s="113"/>
      <c r="D194" s="22"/>
      <c r="E194" s="22"/>
      <c r="F194" s="22"/>
      <c r="G194" s="22"/>
      <c r="H194" s="22"/>
      <c r="I194" s="35"/>
      <c r="J194" s="22"/>
      <c r="K194" s="47"/>
      <c r="L194" s="22"/>
      <c r="M194" s="47"/>
      <c r="N194" s="22"/>
      <c r="O194" s="47"/>
      <c r="P194" s="22"/>
      <c r="Q194" s="22"/>
      <c r="R194" s="22"/>
      <c r="S194" s="22"/>
      <c r="T194" s="77"/>
    </row>
    <row r="195" spans="1:20" ht="24.95" hidden="1" customHeight="1" x14ac:dyDescent="0.25">
      <c r="A195" s="36">
        <v>2006</v>
      </c>
      <c r="B195" s="19"/>
      <c r="C195" s="1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66">
        <v>2006</v>
      </c>
    </row>
    <row r="196" spans="1:20" ht="30" hidden="1" customHeight="1" x14ac:dyDescent="0.25">
      <c r="A196" s="36" t="s">
        <v>30</v>
      </c>
      <c r="B196" s="22">
        <v>1568</v>
      </c>
      <c r="C196" s="113">
        <v>5553</v>
      </c>
      <c r="D196" s="22">
        <f t="shared" ref="D196:D207" si="48">B196+C196</f>
        <v>7121</v>
      </c>
      <c r="E196" s="22">
        <v>4158</v>
      </c>
      <c r="F196" s="22">
        <v>1559</v>
      </c>
      <c r="G196" s="22">
        <f t="shared" ref="G196:G207" si="49">E196+F196</f>
        <v>5717</v>
      </c>
      <c r="H196" s="22">
        <v>15148</v>
      </c>
      <c r="I196" s="22">
        <v>0</v>
      </c>
      <c r="J196" s="22">
        <f t="shared" ref="J196:J207" si="50">H196+I196</f>
        <v>15148</v>
      </c>
      <c r="K196" s="22">
        <v>339</v>
      </c>
      <c r="L196" s="22">
        <f t="shared" ref="L196:L207" si="51">D196+G196+J196+K196</f>
        <v>28325</v>
      </c>
      <c r="M196" s="22">
        <v>3085</v>
      </c>
      <c r="N196" s="22">
        <v>0</v>
      </c>
      <c r="O196" s="22">
        <v>2113</v>
      </c>
      <c r="P196" s="22">
        <f t="shared" ref="P196:P207" si="52">M196+N196+O196</f>
        <v>5198</v>
      </c>
      <c r="Q196" s="22">
        <f t="shared" ref="Q196:Q207" si="53">L196+P196</f>
        <v>33523</v>
      </c>
      <c r="R196" s="22">
        <v>52059</v>
      </c>
      <c r="S196" s="22">
        <f t="shared" ref="S196:S221" si="54">Q196-R196</f>
        <v>-18536</v>
      </c>
      <c r="T196" s="75" t="s">
        <v>30</v>
      </c>
    </row>
    <row r="197" spans="1:20" ht="30" hidden="1" customHeight="1" x14ac:dyDescent="0.25">
      <c r="A197" s="36" t="s">
        <v>31</v>
      </c>
      <c r="B197" s="22">
        <v>2828</v>
      </c>
      <c r="C197" s="113">
        <v>4400</v>
      </c>
      <c r="D197" s="22">
        <f t="shared" si="48"/>
        <v>7228</v>
      </c>
      <c r="E197" s="22">
        <v>6543</v>
      </c>
      <c r="F197" s="22">
        <v>339</v>
      </c>
      <c r="G197" s="22">
        <f t="shared" si="49"/>
        <v>6882</v>
      </c>
      <c r="H197" s="22">
        <v>17247</v>
      </c>
      <c r="I197" s="22">
        <v>0</v>
      </c>
      <c r="J197" s="22">
        <f t="shared" si="50"/>
        <v>17247</v>
      </c>
      <c r="K197" s="22">
        <v>561</v>
      </c>
      <c r="L197" s="22">
        <f t="shared" si="51"/>
        <v>31918</v>
      </c>
      <c r="M197" s="22">
        <v>2057</v>
      </c>
      <c r="N197" s="22">
        <v>0</v>
      </c>
      <c r="O197" s="22">
        <v>2688</v>
      </c>
      <c r="P197" s="22">
        <f t="shared" si="52"/>
        <v>4745</v>
      </c>
      <c r="Q197" s="22">
        <f t="shared" si="53"/>
        <v>36663</v>
      </c>
      <c r="R197" s="22">
        <v>71011</v>
      </c>
      <c r="S197" s="22">
        <f t="shared" si="54"/>
        <v>-34348</v>
      </c>
      <c r="T197" s="75" t="s">
        <v>31</v>
      </c>
    </row>
    <row r="198" spans="1:20" ht="30" hidden="1" customHeight="1" x14ac:dyDescent="0.25">
      <c r="A198" s="36" t="s">
        <v>3</v>
      </c>
      <c r="B198" s="22">
        <v>11396</v>
      </c>
      <c r="C198" s="113">
        <v>5849</v>
      </c>
      <c r="D198" s="22">
        <f t="shared" si="48"/>
        <v>17245</v>
      </c>
      <c r="E198" s="22">
        <v>6266</v>
      </c>
      <c r="F198" s="22">
        <v>577</v>
      </c>
      <c r="G198" s="22">
        <f t="shared" si="49"/>
        <v>6843</v>
      </c>
      <c r="H198" s="22">
        <v>18326</v>
      </c>
      <c r="I198" s="22">
        <v>0</v>
      </c>
      <c r="J198" s="22">
        <f t="shared" si="50"/>
        <v>18326</v>
      </c>
      <c r="K198" s="22">
        <v>1567</v>
      </c>
      <c r="L198" s="22">
        <f t="shared" si="51"/>
        <v>43981</v>
      </c>
      <c r="M198" s="22">
        <v>1505</v>
      </c>
      <c r="N198" s="22">
        <v>0</v>
      </c>
      <c r="O198" s="22">
        <v>3292</v>
      </c>
      <c r="P198" s="22">
        <f t="shared" si="52"/>
        <v>4797</v>
      </c>
      <c r="Q198" s="22">
        <f t="shared" si="53"/>
        <v>48778</v>
      </c>
      <c r="R198" s="22">
        <v>59322</v>
      </c>
      <c r="S198" s="22">
        <f t="shared" si="54"/>
        <v>-10544</v>
      </c>
      <c r="T198" s="75" t="s">
        <v>3</v>
      </c>
    </row>
    <row r="199" spans="1:20" ht="30" hidden="1" customHeight="1" x14ac:dyDescent="0.25">
      <c r="A199" s="36" t="s">
        <v>33</v>
      </c>
      <c r="B199" s="22">
        <v>1750</v>
      </c>
      <c r="C199" s="113">
        <v>3919</v>
      </c>
      <c r="D199" s="22">
        <f t="shared" si="48"/>
        <v>5669</v>
      </c>
      <c r="E199" s="22">
        <v>6339</v>
      </c>
      <c r="F199" s="22">
        <v>1202</v>
      </c>
      <c r="G199" s="22">
        <f t="shared" si="49"/>
        <v>7541</v>
      </c>
      <c r="H199" s="22">
        <v>11953</v>
      </c>
      <c r="I199" s="22">
        <v>0</v>
      </c>
      <c r="J199" s="22">
        <f t="shared" si="50"/>
        <v>11953</v>
      </c>
      <c r="K199" s="22">
        <v>842</v>
      </c>
      <c r="L199" s="22">
        <f t="shared" si="51"/>
        <v>26005</v>
      </c>
      <c r="M199" s="22">
        <v>2535</v>
      </c>
      <c r="N199" s="22">
        <v>0</v>
      </c>
      <c r="O199" s="22">
        <v>2988</v>
      </c>
      <c r="P199" s="22">
        <f t="shared" si="52"/>
        <v>5523</v>
      </c>
      <c r="Q199" s="22">
        <f t="shared" si="53"/>
        <v>31528</v>
      </c>
      <c r="R199" s="22">
        <v>64777</v>
      </c>
      <c r="S199" s="22">
        <f t="shared" si="54"/>
        <v>-33249</v>
      </c>
      <c r="T199" s="75" t="s">
        <v>33</v>
      </c>
    </row>
    <row r="200" spans="1:20" ht="30" hidden="1" customHeight="1" x14ac:dyDescent="0.25">
      <c r="A200" s="36" t="s">
        <v>34</v>
      </c>
      <c r="B200" s="22">
        <v>2375</v>
      </c>
      <c r="C200" s="113">
        <v>5203</v>
      </c>
      <c r="D200" s="22">
        <f t="shared" si="48"/>
        <v>7578</v>
      </c>
      <c r="E200" s="22">
        <v>5900</v>
      </c>
      <c r="F200" s="22">
        <v>1178</v>
      </c>
      <c r="G200" s="22">
        <f t="shared" si="49"/>
        <v>7078</v>
      </c>
      <c r="H200" s="22">
        <v>20883</v>
      </c>
      <c r="I200" s="22">
        <v>0</v>
      </c>
      <c r="J200" s="22">
        <f t="shared" si="50"/>
        <v>20883</v>
      </c>
      <c r="K200" s="22">
        <v>2102</v>
      </c>
      <c r="L200" s="22">
        <f t="shared" si="51"/>
        <v>37641</v>
      </c>
      <c r="M200" s="22">
        <v>4493</v>
      </c>
      <c r="N200" s="22">
        <v>7855</v>
      </c>
      <c r="O200" s="22">
        <v>3555</v>
      </c>
      <c r="P200" s="22">
        <f t="shared" si="52"/>
        <v>15903</v>
      </c>
      <c r="Q200" s="22">
        <f t="shared" si="53"/>
        <v>53544</v>
      </c>
      <c r="R200" s="22">
        <v>70840</v>
      </c>
      <c r="S200" s="22">
        <f t="shared" si="54"/>
        <v>-17296</v>
      </c>
      <c r="T200" s="75" t="s">
        <v>34</v>
      </c>
    </row>
    <row r="201" spans="1:20" ht="30" hidden="1" customHeight="1" x14ac:dyDescent="0.25">
      <c r="A201" s="36" t="s">
        <v>0</v>
      </c>
      <c r="B201" s="22">
        <v>11506</v>
      </c>
      <c r="C201" s="113">
        <v>4799</v>
      </c>
      <c r="D201" s="22">
        <f t="shared" si="48"/>
        <v>16305</v>
      </c>
      <c r="E201" s="22">
        <v>7740</v>
      </c>
      <c r="F201" s="22">
        <v>1103</v>
      </c>
      <c r="G201" s="22">
        <f t="shared" si="49"/>
        <v>8843</v>
      </c>
      <c r="H201" s="22">
        <v>17496</v>
      </c>
      <c r="I201" s="22">
        <v>0</v>
      </c>
      <c r="J201" s="22">
        <f t="shared" si="50"/>
        <v>17496</v>
      </c>
      <c r="K201" s="22">
        <v>2253</v>
      </c>
      <c r="L201" s="22">
        <f t="shared" si="51"/>
        <v>44897</v>
      </c>
      <c r="M201" s="22">
        <v>7564</v>
      </c>
      <c r="N201" s="22">
        <v>0</v>
      </c>
      <c r="O201" s="22">
        <v>4071</v>
      </c>
      <c r="P201" s="22">
        <f t="shared" si="52"/>
        <v>11635</v>
      </c>
      <c r="Q201" s="22">
        <f t="shared" si="53"/>
        <v>56532</v>
      </c>
      <c r="R201" s="22">
        <v>69652</v>
      </c>
      <c r="S201" s="22">
        <f t="shared" si="54"/>
        <v>-13120</v>
      </c>
      <c r="T201" s="75" t="s">
        <v>0</v>
      </c>
    </row>
    <row r="202" spans="1:20" ht="30" hidden="1" customHeight="1" x14ac:dyDescent="0.25">
      <c r="A202" s="36" t="s">
        <v>1</v>
      </c>
      <c r="B202" s="20">
        <v>7878</v>
      </c>
      <c r="C202" s="114">
        <v>5149</v>
      </c>
      <c r="D202" s="22">
        <f t="shared" si="48"/>
        <v>13027</v>
      </c>
      <c r="E202" s="20">
        <v>5055</v>
      </c>
      <c r="F202" s="20">
        <v>967</v>
      </c>
      <c r="G202" s="22">
        <f t="shared" si="49"/>
        <v>6022</v>
      </c>
      <c r="H202" s="20">
        <v>18300</v>
      </c>
      <c r="I202" s="22">
        <v>0</v>
      </c>
      <c r="J202" s="22">
        <f t="shared" si="50"/>
        <v>18300</v>
      </c>
      <c r="K202" s="22">
        <v>1225</v>
      </c>
      <c r="L202" s="22">
        <f t="shared" si="51"/>
        <v>38574</v>
      </c>
      <c r="M202" s="22">
        <v>2079</v>
      </c>
      <c r="N202" s="22">
        <v>0</v>
      </c>
      <c r="O202" s="22">
        <v>3291</v>
      </c>
      <c r="P202" s="22">
        <f t="shared" si="52"/>
        <v>5370</v>
      </c>
      <c r="Q202" s="22">
        <f t="shared" si="53"/>
        <v>43944</v>
      </c>
      <c r="R202" s="22">
        <v>81073</v>
      </c>
      <c r="S202" s="22">
        <f t="shared" si="54"/>
        <v>-37129</v>
      </c>
      <c r="T202" s="75" t="s">
        <v>1</v>
      </c>
    </row>
    <row r="203" spans="1:20" ht="30" hidden="1" customHeight="1" x14ac:dyDescent="0.25">
      <c r="A203" s="36" t="s">
        <v>2</v>
      </c>
      <c r="B203" s="20">
        <v>2416</v>
      </c>
      <c r="C203" s="114">
        <v>4557</v>
      </c>
      <c r="D203" s="22">
        <f t="shared" si="48"/>
        <v>6973</v>
      </c>
      <c r="E203" s="20">
        <v>6181</v>
      </c>
      <c r="F203" s="20">
        <v>790</v>
      </c>
      <c r="G203" s="22">
        <f t="shared" si="49"/>
        <v>6971</v>
      </c>
      <c r="H203" s="20">
        <v>17144</v>
      </c>
      <c r="I203" s="22">
        <v>0</v>
      </c>
      <c r="J203" s="22">
        <f t="shared" si="50"/>
        <v>17144</v>
      </c>
      <c r="K203" s="22">
        <v>1353</v>
      </c>
      <c r="L203" s="22">
        <f t="shared" si="51"/>
        <v>32441</v>
      </c>
      <c r="M203" s="22">
        <v>2923</v>
      </c>
      <c r="N203" s="22">
        <v>0</v>
      </c>
      <c r="O203" s="22">
        <v>3316</v>
      </c>
      <c r="P203" s="22">
        <f t="shared" si="52"/>
        <v>6239</v>
      </c>
      <c r="Q203" s="22">
        <f t="shared" si="53"/>
        <v>38680</v>
      </c>
      <c r="R203" s="22">
        <v>99849</v>
      </c>
      <c r="S203" s="22">
        <f t="shared" si="54"/>
        <v>-61169</v>
      </c>
      <c r="T203" s="75" t="s">
        <v>2</v>
      </c>
    </row>
    <row r="204" spans="1:20" ht="30" hidden="1" customHeight="1" x14ac:dyDescent="0.25">
      <c r="A204" s="36" t="s">
        <v>36</v>
      </c>
      <c r="B204" s="20">
        <v>8187</v>
      </c>
      <c r="C204" s="114">
        <v>3848</v>
      </c>
      <c r="D204" s="22">
        <f t="shared" si="48"/>
        <v>12035</v>
      </c>
      <c r="E204" s="20">
        <v>4792</v>
      </c>
      <c r="F204" s="22">
        <v>-83</v>
      </c>
      <c r="G204" s="22">
        <f t="shared" si="49"/>
        <v>4709</v>
      </c>
      <c r="H204" s="20">
        <v>14718</v>
      </c>
      <c r="I204" s="22">
        <v>0</v>
      </c>
      <c r="J204" s="22">
        <f t="shared" si="50"/>
        <v>14718</v>
      </c>
      <c r="K204" s="22">
        <v>1293</v>
      </c>
      <c r="L204" s="22">
        <f t="shared" si="51"/>
        <v>32755</v>
      </c>
      <c r="M204" s="22">
        <v>3102</v>
      </c>
      <c r="N204" s="22">
        <v>484</v>
      </c>
      <c r="O204" s="22">
        <v>3487</v>
      </c>
      <c r="P204" s="22">
        <f t="shared" si="52"/>
        <v>7073</v>
      </c>
      <c r="Q204" s="22">
        <f t="shared" si="53"/>
        <v>39828</v>
      </c>
      <c r="R204" s="22">
        <v>81689</v>
      </c>
      <c r="S204" s="22">
        <f t="shared" si="54"/>
        <v>-41861</v>
      </c>
      <c r="T204" s="75" t="s">
        <v>36</v>
      </c>
    </row>
    <row r="205" spans="1:20" ht="30" hidden="1" customHeight="1" x14ac:dyDescent="0.25">
      <c r="A205" s="36" t="s">
        <v>38</v>
      </c>
      <c r="B205" s="20">
        <v>2509</v>
      </c>
      <c r="C205" s="114">
        <v>4772</v>
      </c>
      <c r="D205" s="22">
        <f t="shared" si="48"/>
        <v>7281</v>
      </c>
      <c r="E205" s="20">
        <v>5738</v>
      </c>
      <c r="F205" s="20">
        <v>892</v>
      </c>
      <c r="G205" s="22">
        <f t="shared" si="49"/>
        <v>6630</v>
      </c>
      <c r="H205" s="20">
        <v>13223</v>
      </c>
      <c r="I205" s="22">
        <v>0</v>
      </c>
      <c r="J205" s="22">
        <f t="shared" si="50"/>
        <v>13223</v>
      </c>
      <c r="K205" s="22">
        <v>1435</v>
      </c>
      <c r="L205" s="22">
        <f t="shared" si="51"/>
        <v>28569</v>
      </c>
      <c r="M205" s="22">
        <v>655</v>
      </c>
      <c r="N205" s="22">
        <v>0</v>
      </c>
      <c r="O205" s="22">
        <v>3465</v>
      </c>
      <c r="P205" s="22">
        <f t="shared" si="52"/>
        <v>4120</v>
      </c>
      <c r="Q205" s="22">
        <f t="shared" si="53"/>
        <v>32689</v>
      </c>
      <c r="R205" s="22">
        <v>65984</v>
      </c>
      <c r="S205" s="22">
        <f t="shared" si="54"/>
        <v>-33295</v>
      </c>
      <c r="T205" s="75" t="s">
        <v>38</v>
      </c>
    </row>
    <row r="206" spans="1:20" ht="30" hidden="1" customHeight="1" x14ac:dyDescent="0.25">
      <c r="A206" s="36" t="s">
        <v>39</v>
      </c>
      <c r="B206" s="20">
        <v>3077</v>
      </c>
      <c r="C206" s="114">
        <v>5061</v>
      </c>
      <c r="D206" s="22">
        <f t="shared" si="48"/>
        <v>8138</v>
      </c>
      <c r="E206" s="20">
        <v>6561</v>
      </c>
      <c r="F206" s="22">
        <v>-229</v>
      </c>
      <c r="G206" s="22">
        <f t="shared" si="49"/>
        <v>6332</v>
      </c>
      <c r="H206" s="20">
        <v>15889</v>
      </c>
      <c r="I206" s="22">
        <v>0</v>
      </c>
      <c r="J206" s="22">
        <f t="shared" si="50"/>
        <v>15889</v>
      </c>
      <c r="K206" s="22">
        <v>1443</v>
      </c>
      <c r="L206" s="22">
        <f t="shared" si="51"/>
        <v>31802</v>
      </c>
      <c r="M206" s="22">
        <v>2825</v>
      </c>
      <c r="N206" s="22">
        <v>0</v>
      </c>
      <c r="O206" s="22">
        <v>3761</v>
      </c>
      <c r="P206" s="22">
        <f t="shared" si="52"/>
        <v>6586</v>
      </c>
      <c r="Q206" s="22">
        <f t="shared" si="53"/>
        <v>38388</v>
      </c>
      <c r="R206" s="22">
        <v>88174</v>
      </c>
      <c r="S206" s="22">
        <f t="shared" si="54"/>
        <v>-49786</v>
      </c>
      <c r="T206" s="75" t="s">
        <v>39</v>
      </c>
    </row>
    <row r="207" spans="1:20" ht="30" hidden="1" customHeight="1" x14ac:dyDescent="0.25">
      <c r="A207" s="36" t="s">
        <v>40</v>
      </c>
      <c r="B207" s="20">
        <v>9226</v>
      </c>
      <c r="C207" s="114">
        <v>4639</v>
      </c>
      <c r="D207" s="22">
        <f t="shared" si="48"/>
        <v>13865</v>
      </c>
      <c r="E207" s="20">
        <v>5750</v>
      </c>
      <c r="F207" s="20">
        <v>1522</v>
      </c>
      <c r="G207" s="22">
        <f t="shared" si="49"/>
        <v>7272</v>
      </c>
      <c r="H207" s="20">
        <v>17666</v>
      </c>
      <c r="I207" s="22">
        <v>0</v>
      </c>
      <c r="J207" s="22">
        <f t="shared" si="50"/>
        <v>17666</v>
      </c>
      <c r="K207" s="22">
        <v>1089</v>
      </c>
      <c r="L207" s="22">
        <f t="shared" si="51"/>
        <v>39892</v>
      </c>
      <c r="M207" s="22">
        <v>-1916</v>
      </c>
      <c r="N207" s="22">
        <v>0</v>
      </c>
      <c r="O207" s="22">
        <v>3629</v>
      </c>
      <c r="P207" s="22">
        <f t="shared" si="52"/>
        <v>1713</v>
      </c>
      <c r="Q207" s="22">
        <f t="shared" si="53"/>
        <v>41605</v>
      </c>
      <c r="R207" s="22">
        <v>107353</v>
      </c>
      <c r="S207" s="22">
        <f t="shared" si="54"/>
        <v>-65748</v>
      </c>
      <c r="T207" s="75" t="s">
        <v>40</v>
      </c>
    </row>
    <row r="208" spans="1:20" ht="25.7" hidden="1" customHeight="1" x14ac:dyDescent="0.25">
      <c r="A208" s="36"/>
      <c r="B208" s="20"/>
      <c r="C208" s="114"/>
      <c r="D208" s="22"/>
      <c r="E208" s="20"/>
      <c r="F208" s="20"/>
      <c r="G208" s="22"/>
      <c r="H208" s="20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>
        <f t="shared" si="54"/>
        <v>0</v>
      </c>
      <c r="T208" s="75"/>
    </row>
    <row r="209" spans="1:20" ht="25.5" hidden="1" customHeight="1" x14ac:dyDescent="0.25">
      <c r="A209" s="36">
        <v>2007</v>
      </c>
      <c r="B209" s="20"/>
      <c r="C209" s="114"/>
      <c r="D209" s="22"/>
      <c r="E209" s="20"/>
      <c r="F209" s="20"/>
      <c r="G209" s="22"/>
      <c r="H209" s="20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>
        <f t="shared" si="54"/>
        <v>0</v>
      </c>
      <c r="T209" s="75">
        <v>2007</v>
      </c>
    </row>
    <row r="210" spans="1:20" ht="30" hidden="1" customHeight="1" x14ac:dyDescent="0.25">
      <c r="A210" s="36" t="s">
        <v>30</v>
      </c>
      <c r="B210" s="20">
        <v>1805</v>
      </c>
      <c r="C210" s="114">
        <v>5168</v>
      </c>
      <c r="D210" s="22">
        <f t="shared" ref="D210:D222" si="55">B210+C210</f>
        <v>6973</v>
      </c>
      <c r="E210" s="20">
        <v>6608</v>
      </c>
      <c r="F210" s="20">
        <v>1264</v>
      </c>
      <c r="G210" s="22">
        <f t="shared" ref="G210:G222" si="56">E210+F210</f>
        <v>7872</v>
      </c>
      <c r="H210" s="20">
        <v>17068</v>
      </c>
      <c r="I210" s="22">
        <v>0</v>
      </c>
      <c r="J210" s="22">
        <f t="shared" ref="J210:J221" si="57">H210+I210</f>
        <v>17068</v>
      </c>
      <c r="K210" s="22">
        <v>1537</v>
      </c>
      <c r="L210" s="22">
        <f t="shared" ref="L210:L222" si="58">D210+G210+J210+K210</f>
        <v>33450</v>
      </c>
      <c r="M210" s="22">
        <v>2599</v>
      </c>
      <c r="N210" s="22">
        <v>0</v>
      </c>
      <c r="O210" s="22">
        <v>3198</v>
      </c>
      <c r="P210" s="22">
        <f t="shared" ref="P210:P222" si="59">M210+N210+O210</f>
        <v>5797</v>
      </c>
      <c r="Q210" s="22">
        <f t="shared" ref="Q210:Q222" si="60">L210+P210</f>
        <v>39247</v>
      </c>
      <c r="R210" s="22">
        <v>64924</v>
      </c>
      <c r="S210" s="22">
        <f t="shared" si="54"/>
        <v>-25677</v>
      </c>
      <c r="T210" s="75" t="s">
        <v>30</v>
      </c>
    </row>
    <row r="211" spans="1:20" ht="30" hidden="1" customHeight="1" x14ac:dyDescent="0.25">
      <c r="A211" s="36" t="s">
        <v>31</v>
      </c>
      <c r="B211" s="20">
        <v>1969</v>
      </c>
      <c r="C211" s="114">
        <v>5017</v>
      </c>
      <c r="D211" s="22">
        <f t="shared" si="55"/>
        <v>6986</v>
      </c>
      <c r="E211" s="20">
        <v>5438</v>
      </c>
      <c r="F211" s="20">
        <v>1030</v>
      </c>
      <c r="G211" s="22">
        <f t="shared" si="56"/>
        <v>6468</v>
      </c>
      <c r="H211" s="20">
        <v>13846</v>
      </c>
      <c r="I211" s="22">
        <v>0</v>
      </c>
      <c r="J211" s="22">
        <f t="shared" si="57"/>
        <v>13846</v>
      </c>
      <c r="K211" s="22">
        <v>1423</v>
      </c>
      <c r="L211" s="22">
        <f t="shared" si="58"/>
        <v>28723</v>
      </c>
      <c r="M211" s="22">
        <v>3019</v>
      </c>
      <c r="N211" s="22">
        <v>0</v>
      </c>
      <c r="O211" s="22">
        <v>2856</v>
      </c>
      <c r="P211" s="22">
        <f t="shared" si="59"/>
        <v>5875</v>
      </c>
      <c r="Q211" s="22">
        <f t="shared" si="60"/>
        <v>34598</v>
      </c>
      <c r="R211" s="22">
        <v>85509</v>
      </c>
      <c r="S211" s="22">
        <f t="shared" si="54"/>
        <v>-50911</v>
      </c>
      <c r="T211" s="75" t="s">
        <v>31</v>
      </c>
    </row>
    <row r="212" spans="1:20" ht="30" hidden="1" customHeight="1" x14ac:dyDescent="0.25">
      <c r="A212" s="36" t="s">
        <v>3</v>
      </c>
      <c r="B212" s="20">
        <v>6686</v>
      </c>
      <c r="C212" s="114">
        <v>6724</v>
      </c>
      <c r="D212" s="22">
        <f t="shared" si="55"/>
        <v>13410</v>
      </c>
      <c r="E212" s="20">
        <v>5527</v>
      </c>
      <c r="F212" s="20">
        <v>1083</v>
      </c>
      <c r="G212" s="22">
        <f t="shared" si="56"/>
        <v>6610</v>
      </c>
      <c r="H212" s="20">
        <v>20237</v>
      </c>
      <c r="I212" s="22">
        <v>0</v>
      </c>
      <c r="J212" s="22">
        <f t="shared" si="57"/>
        <v>20237</v>
      </c>
      <c r="K212" s="22">
        <v>1448</v>
      </c>
      <c r="L212" s="22">
        <f t="shared" si="58"/>
        <v>41705</v>
      </c>
      <c r="M212" s="22">
        <v>4486</v>
      </c>
      <c r="N212" s="22">
        <v>0</v>
      </c>
      <c r="O212" s="22">
        <v>4602</v>
      </c>
      <c r="P212" s="22">
        <f t="shared" si="59"/>
        <v>9088</v>
      </c>
      <c r="Q212" s="22">
        <f t="shared" si="60"/>
        <v>50793</v>
      </c>
      <c r="R212" s="22">
        <v>69128</v>
      </c>
      <c r="S212" s="22">
        <f t="shared" si="54"/>
        <v>-18335</v>
      </c>
      <c r="T212" s="75" t="s">
        <v>3</v>
      </c>
    </row>
    <row r="213" spans="1:20" ht="30" hidden="1" customHeight="1" x14ac:dyDescent="0.25">
      <c r="A213" s="36" t="s">
        <v>33</v>
      </c>
      <c r="B213" s="20">
        <v>3788</v>
      </c>
      <c r="C213" s="114">
        <v>4100</v>
      </c>
      <c r="D213" s="22">
        <f t="shared" si="55"/>
        <v>7888</v>
      </c>
      <c r="E213" s="20">
        <v>4573</v>
      </c>
      <c r="F213" s="20">
        <v>945</v>
      </c>
      <c r="G213" s="22">
        <f t="shared" si="56"/>
        <v>5518</v>
      </c>
      <c r="H213" s="20">
        <v>17549</v>
      </c>
      <c r="I213" s="22">
        <v>0</v>
      </c>
      <c r="J213" s="22">
        <f t="shared" si="57"/>
        <v>17549</v>
      </c>
      <c r="K213" s="22">
        <v>1662</v>
      </c>
      <c r="L213" s="22">
        <f t="shared" si="58"/>
        <v>32617</v>
      </c>
      <c r="M213" s="22">
        <v>6314</v>
      </c>
      <c r="N213" s="22">
        <v>0</v>
      </c>
      <c r="O213" s="22">
        <v>4321</v>
      </c>
      <c r="P213" s="22">
        <f t="shared" si="59"/>
        <v>10635</v>
      </c>
      <c r="Q213" s="22">
        <f t="shared" si="60"/>
        <v>43252</v>
      </c>
      <c r="R213" s="22">
        <v>48098</v>
      </c>
      <c r="S213" s="22">
        <f t="shared" si="54"/>
        <v>-4846</v>
      </c>
      <c r="T213" s="75" t="s">
        <v>33</v>
      </c>
    </row>
    <row r="214" spans="1:20" ht="30" hidden="1" customHeight="1" x14ac:dyDescent="0.25">
      <c r="A214" s="36" t="s">
        <v>34</v>
      </c>
      <c r="B214" s="20">
        <v>4017</v>
      </c>
      <c r="C214" s="114">
        <v>5973</v>
      </c>
      <c r="D214" s="22">
        <f t="shared" si="55"/>
        <v>9990</v>
      </c>
      <c r="E214" s="20">
        <v>5834</v>
      </c>
      <c r="F214" s="20">
        <v>1186</v>
      </c>
      <c r="G214" s="22">
        <f t="shared" si="56"/>
        <v>7020</v>
      </c>
      <c r="H214" s="20">
        <v>22379</v>
      </c>
      <c r="I214" s="22">
        <v>0</v>
      </c>
      <c r="J214" s="22">
        <f t="shared" si="57"/>
        <v>22379</v>
      </c>
      <c r="K214" s="22">
        <v>1909</v>
      </c>
      <c r="L214" s="22">
        <f t="shared" si="58"/>
        <v>41298</v>
      </c>
      <c r="M214" s="22">
        <v>10305</v>
      </c>
      <c r="N214" s="22">
        <v>0</v>
      </c>
      <c r="O214" s="22">
        <v>4635</v>
      </c>
      <c r="P214" s="22">
        <f t="shared" si="59"/>
        <v>14940</v>
      </c>
      <c r="Q214" s="22">
        <f t="shared" si="60"/>
        <v>56238</v>
      </c>
      <c r="R214" s="22">
        <v>47678</v>
      </c>
      <c r="S214" s="22">
        <f t="shared" si="54"/>
        <v>8560</v>
      </c>
      <c r="T214" s="75" t="s">
        <v>34</v>
      </c>
    </row>
    <row r="215" spans="1:20" ht="30" hidden="1" customHeight="1" x14ac:dyDescent="0.25">
      <c r="A215" s="36" t="s">
        <v>0</v>
      </c>
      <c r="B215" s="20">
        <v>10261</v>
      </c>
      <c r="C215" s="114">
        <v>7415</v>
      </c>
      <c r="D215" s="22">
        <f t="shared" si="55"/>
        <v>17676</v>
      </c>
      <c r="E215" s="20">
        <v>4852</v>
      </c>
      <c r="F215" s="20">
        <v>994</v>
      </c>
      <c r="G215" s="22">
        <f t="shared" si="56"/>
        <v>5846</v>
      </c>
      <c r="H215" s="20">
        <v>24061</v>
      </c>
      <c r="I215" s="22">
        <v>0</v>
      </c>
      <c r="J215" s="22">
        <f t="shared" si="57"/>
        <v>24061</v>
      </c>
      <c r="K215" s="22">
        <v>2098</v>
      </c>
      <c r="L215" s="22">
        <f t="shared" si="58"/>
        <v>49681</v>
      </c>
      <c r="M215" s="22">
        <v>5549</v>
      </c>
      <c r="N215" s="22">
        <v>0</v>
      </c>
      <c r="O215" s="22">
        <v>4198</v>
      </c>
      <c r="P215" s="22">
        <f t="shared" si="59"/>
        <v>9747</v>
      </c>
      <c r="Q215" s="22">
        <f t="shared" si="60"/>
        <v>59428</v>
      </c>
      <c r="R215" s="22">
        <v>51841</v>
      </c>
      <c r="S215" s="22">
        <f t="shared" si="54"/>
        <v>7587</v>
      </c>
      <c r="T215" s="75" t="s">
        <v>0</v>
      </c>
    </row>
    <row r="216" spans="1:20" ht="30" hidden="1" customHeight="1" x14ac:dyDescent="0.25">
      <c r="A216" s="36" t="s">
        <v>1</v>
      </c>
      <c r="B216" s="20">
        <v>4093</v>
      </c>
      <c r="C216" s="114">
        <v>5705</v>
      </c>
      <c r="D216" s="22">
        <f t="shared" si="55"/>
        <v>9798</v>
      </c>
      <c r="E216" s="20">
        <v>1616</v>
      </c>
      <c r="F216" s="20">
        <v>537</v>
      </c>
      <c r="G216" s="22">
        <f t="shared" si="56"/>
        <v>2153</v>
      </c>
      <c r="H216" s="20">
        <v>26038</v>
      </c>
      <c r="I216" s="22">
        <v>0</v>
      </c>
      <c r="J216" s="22">
        <f t="shared" si="57"/>
        <v>26038</v>
      </c>
      <c r="K216" s="22">
        <v>1839</v>
      </c>
      <c r="L216" s="22">
        <f t="shared" si="58"/>
        <v>39828</v>
      </c>
      <c r="M216" s="22">
        <v>1877</v>
      </c>
      <c r="N216" s="22">
        <v>0</v>
      </c>
      <c r="O216" s="22">
        <v>3662</v>
      </c>
      <c r="P216" s="22">
        <f t="shared" si="59"/>
        <v>5539</v>
      </c>
      <c r="Q216" s="22">
        <f t="shared" si="60"/>
        <v>45367</v>
      </c>
      <c r="R216" s="22">
        <v>69830</v>
      </c>
      <c r="S216" s="22">
        <f t="shared" si="54"/>
        <v>-24463</v>
      </c>
      <c r="T216" s="75" t="s">
        <v>1</v>
      </c>
    </row>
    <row r="217" spans="1:20" ht="30" hidden="1" customHeight="1" x14ac:dyDescent="0.25">
      <c r="A217" s="36" t="s">
        <v>2</v>
      </c>
      <c r="B217" s="20">
        <v>3215</v>
      </c>
      <c r="C217" s="114">
        <v>5552</v>
      </c>
      <c r="D217" s="22">
        <f t="shared" si="55"/>
        <v>8767</v>
      </c>
      <c r="E217" s="20">
        <v>4115</v>
      </c>
      <c r="F217" s="20">
        <v>388</v>
      </c>
      <c r="G217" s="22">
        <f t="shared" si="56"/>
        <v>4503</v>
      </c>
      <c r="H217" s="20">
        <v>19679</v>
      </c>
      <c r="I217" s="22">
        <v>0</v>
      </c>
      <c r="J217" s="22">
        <f t="shared" si="57"/>
        <v>19679</v>
      </c>
      <c r="K217" s="22">
        <v>1711</v>
      </c>
      <c r="L217" s="22">
        <f t="shared" si="58"/>
        <v>34660</v>
      </c>
      <c r="M217" s="22">
        <v>5542</v>
      </c>
      <c r="N217" s="22">
        <v>0</v>
      </c>
      <c r="O217" s="22">
        <v>1844</v>
      </c>
      <c r="P217" s="22">
        <f t="shared" si="59"/>
        <v>7386</v>
      </c>
      <c r="Q217" s="22">
        <f t="shared" si="60"/>
        <v>42046</v>
      </c>
      <c r="R217" s="22">
        <v>72564</v>
      </c>
      <c r="S217" s="22">
        <f t="shared" si="54"/>
        <v>-30518</v>
      </c>
      <c r="T217" s="75" t="s">
        <v>2</v>
      </c>
    </row>
    <row r="218" spans="1:20" ht="30" hidden="1" customHeight="1" x14ac:dyDescent="0.25">
      <c r="A218" s="36" t="s">
        <v>36</v>
      </c>
      <c r="B218" s="20">
        <v>5208</v>
      </c>
      <c r="C218" s="114">
        <v>7403</v>
      </c>
      <c r="D218" s="22">
        <f t="shared" si="55"/>
        <v>12611</v>
      </c>
      <c r="E218" s="20">
        <v>520</v>
      </c>
      <c r="F218" s="20">
        <v>309</v>
      </c>
      <c r="G218" s="22">
        <f t="shared" si="56"/>
        <v>829</v>
      </c>
      <c r="H218" s="20">
        <v>22299</v>
      </c>
      <c r="I218" s="22">
        <v>0</v>
      </c>
      <c r="J218" s="22">
        <f t="shared" si="57"/>
        <v>22299</v>
      </c>
      <c r="K218" s="22">
        <v>1596</v>
      </c>
      <c r="L218" s="22">
        <f t="shared" si="58"/>
        <v>37335</v>
      </c>
      <c r="M218" s="22">
        <v>1920</v>
      </c>
      <c r="N218" s="22">
        <v>0</v>
      </c>
      <c r="O218" s="22">
        <v>0</v>
      </c>
      <c r="P218" s="22">
        <f t="shared" si="59"/>
        <v>1920</v>
      </c>
      <c r="Q218" s="22">
        <f t="shared" si="60"/>
        <v>39255</v>
      </c>
      <c r="R218" s="22">
        <v>60091</v>
      </c>
      <c r="S218" s="22">
        <f t="shared" si="54"/>
        <v>-20836</v>
      </c>
      <c r="T218" s="75" t="s">
        <v>36</v>
      </c>
    </row>
    <row r="219" spans="1:20" ht="30" hidden="1" customHeight="1" x14ac:dyDescent="0.25">
      <c r="A219" s="36" t="s">
        <v>38</v>
      </c>
      <c r="B219" s="20">
        <v>1684</v>
      </c>
      <c r="C219" s="114">
        <v>6881</v>
      </c>
      <c r="D219" s="22">
        <f t="shared" si="55"/>
        <v>8565</v>
      </c>
      <c r="E219" s="20">
        <v>4190</v>
      </c>
      <c r="F219" s="20">
        <v>675</v>
      </c>
      <c r="G219" s="22">
        <f t="shared" si="56"/>
        <v>4865</v>
      </c>
      <c r="H219" s="20">
        <v>21251</v>
      </c>
      <c r="I219" s="22">
        <v>0</v>
      </c>
      <c r="J219" s="22">
        <f t="shared" si="57"/>
        <v>21251</v>
      </c>
      <c r="K219" s="22">
        <v>1731</v>
      </c>
      <c r="L219" s="22">
        <f t="shared" si="58"/>
        <v>36412</v>
      </c>
      <c r="M219" s="22">
        <v>2410</v>
      </c>
      <c r="N219" s="22">
        <v>0</v>
      </c>
      <c r="O219" s="22">
        <v>0</v>
      </c>
      <c r="P219" s="22">
        <f t="shared" si="59"/>
        <v>2410</v>
      </c>
      <c r="Q219" s="22">
        <f t="shared" si="60"/>
        <v>38822</v>
      </c>
      <c r="R219" s="22">
        <v>42524</v>
      </c>
      <c r="S219" s="22">
        <f t="shared" si="54"/>
        <v>-3702</v>
      </c>
      <c r="T219" s="75" t="s">
        <v>38</v>
      </c>
    </row>
    <row r="220" spans="1:20" ht="30" hidden="1" customHeight="1" x14ac:dyDescent="0.25">
      <c r="A220" s="36" t="s">
        <v>39</v>
      </c>
      <c r="B220" s="20">
        <v>3320</v>
      </c>
      <c r="C220" s="114">
        <v>6381</v>
      </c>
      <c r="D220" s="22">
        <f t="shared" si="55"/>
        <v>9701</v>
      </c>
      <c r="E220" s="20">
        <v>1109</v>
      </c>
      <c r="F220" s="20">
        <v>327</v>
      </c>
      <c r="G220" s="22">
        <f t="shared" si="56"/>
        <v>1436</v>
      </c>
      <c r="H220" s="20">
        <v>23669</v>
      </c>
      <c r="I220" s="22">
        <v>0</v>
      </c>
      <c r="J220" s="22">
        <f t="shared" si="57"/>
        <v>23669</v>
      </c>
      <c r="K220" s="22">
        <v>1955</v>
      </c>
      <c r="L220" s="22">
        <f t="shared" si="58"/>
        <v>36761</v>
      </c>
      <c r="M220" s="22">
        <v>1235</v>
      </c>
      <c r="N220" s="22">
        <v>805</v>
      </c>
      <c r="O220" s="22">
        <v>1436</v>
      </c>
      <c r="P220" s="22">
        <f t="shared" si="59"/>
        <v>3476</v>
      </c>
      <c r="Q220" s="22">
        <f t="shared" si="60"/>
        <v>40237</v>
      </c>
      <c r="R220" s="22">
        <v>83290</v>
      </c>
      <c r="S220" s="22">
        <f t="shared" si="54"/>
        <v>-43053</v>
      </c>
      <c r="T220" s="75" t="s">
        <v>39</v>
      </c>
    </row>
    <row r="221" spans="1:20" ht="30" hidden="1" customHeight="1" x14ac:dyDescent="0.25">
      <c r="A221" s="36" t="s">
        <v>40</v>
      </c>
      <c r="B221" s="20">
        <v>5324</v>
      </c>
      <c r="C221" s="114">
        <v>7870</v>
      </c>
      <c r="D221" s="22">
        <f t="shared" si="55"/>
        <v>13194</v>
      </c>
      <c r="E221" s="20">
        <v>3195</v>
      </c>
      <c r="F221" s="20">
        <v>277</v>
      </c>
      <c r="G221" s="22">
        <f t="shared" si="56"/>
        <v>3472</v>
      </c>
      <c r="H221" s="20">
        <v>23720</v>
      </c>
      <c r="I221" s="22">
        <v>0</v>
      </c>
      <c r="J221" s="22">
        <f t="shared" si="57"/>
        <v>23720</v>
      </c>
      <c r="K221" s="22">
        <v>1823</v>
      </c>
      <c r="L221" s="22">
        <f t="shared" si="58"/>
        <v>42209</v>
      </c>
      <c r="M221" s="22">
        <v>424</v>
      </c>
      <c r="N221" s="22">
        <v>0</v>
      </c>
      <c r="O221" s="22">
        <v>3613</v>
      </c>
      <c r="P221" s="22">
        <f t="shared" si="59"/>
        <v>4037</v>
      </c>
      <c r="Q221" s="22">
        <f t="shared" si="60"/>
        <v>46246</v>
      </c>
      <c r="R221" s="22">
        <v>107970</v>
      </c>
      <c r="S221" s="22">
        <f t="shared" si="54"/>
        <v>-61724</v>
      </c>
      <c r="T221" s="75" t="s">
        <v>40</v>
      </c>
    </row>
    <row r="222" spans="1:20" ht="30" hidden="1" customHeight="1" x14ac:dyDescent="0.25">
      <c r="A222" s="36"/>
      <c r="B222" s="20"/>
      <c r="C222" s="114"/>
      <c r="D222" s="22">
        <f t="shared" si="55"/>
        <v>0</v>
      </c>
      <c r="E222" s="20"/>
      <c r="F222" s="20">
        <f>SUM(F210:F221)</f>
        <v>9015</v>
      </c>
      <c r="G222" s="22">
        <f t="shared" si="56"/>
        <v>9015</v>
      </c>
      <c r="H222" s="20"/>
      <c r="I222" s="22"/>
      <c r="J222" s="22"/>
      <c r="K222" s="22"/>
      <c r="L222" s="22">
        <f t="shared" si="58"/>
        <v>9015</v>
      </c>
      <c r="M222" s="22"/>
      <c r="N222" s="22"/>
      <c r="O222" s="22"/>
      <c r="P222" s="22">
        <f t="shared" si="59"/>
        <v>0</v>
      </c>
      <c r="Q222" s="22">
        <f t="shared" si="60"/>
        <v>9015</v>
      </c>
      <c r="R222" s="22"/>
      <c r="S222" s="22"/>
      <c r="T222" s="75"/>
    </row>
    <row r="223" spans="1:20" ht="30" customHeight="1" x14ac:dyDescent="0.25">
      <c r="A223" s="36">
        <v>2008</v>
      </c>
      <c r="B223" s="21">
        <v>61881</v>
      </c>
      <c r="C223" s="111">
        <v>112871</v>
      </c>
      <c r="D223" s="22">
        <v>174752</v>
      </c>
      <c r="E223" s="21">
        <v>69517</v>
      </c>
      <c r="F223" s="21">
        <v>16849</v>
      </c>
      <c r="G223" s="22">
        <v>86366</v>
      </c>
      <c r="H223" s="21">
        <v>275779</v>
      </c>
      <c r="I223" s="21">
        <v>0</v>
      </c>
      <c r="J223" s="22">
        <v>275779</v>
      </c>
      <c r="K223" s="21">
        <v>24156</v>
      </c>
      <c r="L223" s="22">
        <v>561053</v>
      </c>
      <c r="M223" s="21">
        <v>54949</v>
      </c>
      <c r="N223" s="25">
        <v>2056</v>
      </c>
      <c r="O223" s="21">
        <v>40265</v>
      </c>
      <c r="P223" s="24">
        <v>97270</v>
      </c>
      <c r="Q223" s="21">
        <v>658323</v>
      </c>
      <c r="R223" s="21">
        <v>1088361</v>
      </c>
      <c r="S223" s="22">
        <v>-430038</v>
      </c>
      <c r="T223" s="36">
        <v>2008</v>
      </c>
    </row>
    <row r="224" spans="1:20" ht="30" customHeight="1" x14ac:dyDescent="0.25">
      <c r="A224" s="36">
        <v>2009</v>
      </c>
      <c r="B224" s="21">
        <v>61730</v>
      </c>
      <c r="C224" s="111">
        <v>120643</v>
      </c>
      <c r="D224" s="22">
        <v>182373</v>
      </c>
      <c r="E224" s="21">
        <v>90708</v>
      </c>
      <c r="F224" s="21">
        <v>13382</v>
      </c>
      <c r="G224" s="22">
        <v>104090</v>
      </c>
      <c r="H224" s="21">
        <v>317204</v>
      </c>
      <c r="I224" s="21">
        <v>0</v>
      </c>
      <c r="J224" s="22">
        <v>317204</v>
      </c>
      <c r="K224" s="21">
        <v>28802</v>
      </c>
      <c r="L224" s="22">
        <v>632469</v>
      </c>
      <c r="M224" s="21">
        <v>64975</v>
      </c>
      <c r="N224" s="25">
        <v>2356</v>
      </c>
      <c r="O224" s="21">
        <v>48855</v>
      </c>
      <c r="P224" s="24">
        <v>116186</v>
      </c>
      <c r="Q224" s="21">
        <v>748655</v>
      </c>
      <c r="R224" s="21">
        <v>1457409</v>
      </c>
      <c r="S224" s="22">
        <v>-708754</v>
      </c>
      <c r="T224" s="36">
        <v>2009</v>
      </c>
    </row>
    <row r="225" spans="1:20" ht="30" customHeight="1" x14ac:dyDescent="0.25">
      <c r="A225" s="36">
        <v>2010</v>
      </c>
      <c r="B225" s="21">
        <v>136513</v>
      </c>
      <c r="C225" s="111">
        <v>155257</v>
      </c>
      <c r="D225" s="22">
        <v>291770</v>
      </c>
      <c r="E225" s="21">
        <v>176507</v>
      </c>
      <c r="F225" s="21">
        <v>7315</v>
      </c>
      <c r="G225" s="22">
        <v>183822</v>
      </c>
      <c r="H225" s="21">
        <v>382854</v>
      </c>
      <c r="I225" s="21">
        <v>0</v>
      </c>
      <c r="J225" s="22">
        <v>382854</v>
      </c>
      <c r="K225" s="21">
        <v>11278</v>
      </c>
      <c r="L225" s="22">
        <v>869724</v>
      </c>
      <c r="M225" s="21">
        <v>61504</v>
      </c>
      <c r="N225" s="25">
        <v>14435</v>
      </c>
      <c r="O225" s="21">
        <v>48202</v>
      </c>
      <c r="P225" s="24">
        <v>124141</v>
      </c>
      <c r="Q225" s="21">
        <v>993865</v>
      </c>
      <c r="R225" s="21">
        <v>2097237</v>
      </c>
      <c r="S225" s="22">
        <v>-1103372</v>
      </c>
      <c r="T225" s="36">
        <v>2010</v>
      </c>
    </row>
    <row r="226" spans="1:20" ht="30" customHeight="1" x14ac:dyDescent="0.25">
      <c r="A226" s="36">
        <v>2011</v>
      </c>
      <c r="B226" s="21">
        <v>74828</v>
      </c>
      <c r="C226" s="111">
        <v>389752</v>
      </c>
      <c r="D226" s="22">
        <v>464580</v>
      </c>
      <c r="E226" s="21">
        <v>277211</v>
      </c>
      <c r="F226" s="21">
        <v>5049</v>
      </c>
      <c r="G226" s="22">
        <v>282260</v>
      </c>
      <c r="H226" s="21">
        <v>411857</v>
      </c>
      <c r="I226" s="21">
        <v>0</v>
      </c>
      <c r="J226" s="22">
        <v>411857</v>
      </c>
      <c r="K226" s="21">
        <v>7022</v>
      </c>
      <c r="L226" s="22">
        <v>1165719</v>
      </c>
      <c r="M226" s="21">
        <v>274266</v>
      </c>
      <c r="N226" s="25">
        <v>0</v>
      </c>
      <c r="O226" s="21">
        <v>16559</v>
      </c>
      <c r="P226" s="24">
        <v>290825</v>
      </c>
      <c r="Q226" s="21">
        <v>1456544</v>
      </c>
      <c r="R226" s="21">
        <v>2821500</v>
      </c>
      <c r="S226" s="22">
        <v>-1364956</v>
      </c>
      <c r="T226" s="36">
        <v>2011</v>
      </c>
    </row>
    <row r="227" spans="1:20" ht="30" customHeight="1" x14ac:dyDescent="0.25">
      <c r="A227" s="36">
        <v>2012</v>
      </c>
      <c r="B227" s="21" t="e">
        <f>SUM(#REF!)</f>
        <v>#REF!</v>
      </c>
      <c r="C227" s="111" t="e">
        <f>SUM(#REF!)</f>
        <v>#REF!</v>
      </c>
      <c r="D227" s="22" t="e">
        <f>SUM(#REF!)</f>
        <v>#REF!</v>
      </c>
      <c r="E227" s="21" t="e">
        <f>SUM(#REF!)</f>
        <v>#REF!</v>
      </c>
      <c r="F227" s="21" t="e">
        <f>SUM(#REF!)</f>
        <v>#REF!</v>
      </c>
      <c r="G227" s="22" t="e">
        <f>SUM(#REF!)</f>
        <v>#REF!</v>
      </c>
      <c r="H227" s="21" t="e">
        <f>SUM(#REF!)</f>
        <v>#REF!</v>
      </c>
      <c r="I227" s="21" t="e">
        <f>SUM(#REF!)</f>
        <v>#REF!</v>
      </c>
      <c r="J227" s="22" t="e">
        <f>SUM(#REF!)</f>
        <v>#REF!</v>
      </c>
      <c r="K227" s="21" t="e">
        <f>SUM(#REF!)</f>
        <v>#REF!</v>
      </c>
      <c r="L227" s="22" t="e">
        <f>SUM(#REF!)</f>
        <v>#REF!</v>
      </c>
      <c r="M227" s="21" t="e">
        <f>SUM(#REF!)</f>
        <v>#REF!</v>
      </c>
      <c r="N227" s="25" t="e">
        <f>SUM(#REF!)</f>
        <v>#REF!</v>
      </c>
      <c r="O227" s="21" t="e">
        <f>SUM(#REF!)</f>
        <v>#REF!</v>
      </c>
      <c r="P227" s="24" t="e">
        <f>SUM(#REF!)</f>
        <v>#REF!</v>
      </c>
      <c r="Q227" s="21" t="e">
        <f>SUM(#REF!)</f>
        <v>#REF!</v>
      </c>
      <c r="R227" s="21" t="e">
        <f>SUM(#REF!)</f>
        <v>#REF!</v>
      </c>
      <c r="S227" s="22" t="e">
        <f>SUM(#REF!)</f>
        <v>#REF!</v>
      </c>
      <c r="T227" s="36">
        <v>2012</v>
      </c>
    </row>
    <row r="228" spans="1:20" ht="39.950000000000003" hidden="1" customHeight="1" x14ac:dyDescent="0.25">
      <c r="A228" s="36">
        <v>2006.5435279951801</v>
      </c>
      <c r="B228" s="18"/>
      <c r="C228" s="134"/>
      <c r="D228" s="29"/>
      <c r="E228" s="18"/>
      <c r="F228" s="18"/>
      <c r="G228" s="29"/>
      <c r="H228" s="18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2" t="e">
        <f>SUM(#REF!)</f>
        <v>#REF!</v>
      </c>
      <c r="T228" s="66">
        <v>2008</v>
      </c>
    </row>
    <row r="229" spans="1:20" ht="39.950000000000003" hidden="1" customHeight="1" x14ac:dyDescent="0.25">
      <c r="A229" s="36">
        <v>2006.5133052378101</v>
      </c>
      <c r="B229" s="29">
        <v>4345</v>
      </c>
      <c r="C229" s="116">
        <v>7531</v>
      </c>
      <c r="D229" s="29">
        <f t="shared" ref="D229:D243" si="61">B229+C229</f>
        <v>11876</v>
      </c>
      <c r="E229" s="29">
        <v>5289</v>
      </c>
      <c r="F229" s="29">
        <v>2128</v>
      </c>
      <c r="G229" s="29">
        <f t="shared" ref="G229:G243" si="62">E229+F229</f>
        <v>7417</v>
      </c>
      <c r="H229" s="29">
        <v>21262</v>
      </c>
      <c r="I229" s="29">
        <v>0</v>
      </c>
      <c r="J229" s="29">
        <f t="shared" ref="J229:J243" si="63">H229+I229</f>
        <v>21262</v>
      </c>
      <c r="K229" s="29">
        <v>492</v>
      </c>
      <c r="L229" s="29">
        <f t="shared" ref="L229:L243" si="64">D229+G229+J229+K229</f>
        <v>41047</v>
      </c>
      <c r="M229" s="29">
        <v>3674</v>
      </c>
      <c r="N229" s="29">
        <v>0</v>
      </c>
      <c r="O229" s="29">
        <v>4109</v>
      </c>
      <c r="P229" s="29">
        <f t="shared" ref="P229:P243" si="65">M229+N229+O229</f>
        <v>7783</v>
      </c>
      <c r="Q229" s="29">
        <f t="shared" ref="Q229:Q243" si="66">L229+P229</f>
        <v>48830</v>
      </c>
      <c r="R229" s="29">
        <v>62944</v>
      </c>
      <c r="S229" s="22" t="e">
        <f>SUM(#REF!)</f>
        <v>#REF!</v>
      </c>
      <c r="T229" s="78" t="s">
        <v>30</v>
      </c>
    </row>
    <row r="230" spans="1:20" ht="39.950000000000003" hidden="1" customHeight="1" x14ac:dyDescent="0.25">
      <c r="A230" s="36">
        <v>2006.4830824804301</v>
      </c>
      <c r="B230" s="29">
        <v>1929</v>
      </c>
      <c r="C230" s="116">
        <v>8176</v>
      </c>
      <c r="D230" s="29">
        <f t="shared" si="61"/>
        <v>10105</v>
      </c>
      <c r="E230" s="29">
        <v>4949</v>
      </c>
      <c r="F230" s="29">
        <v>1806</v>
      </c>
      <c r="G230" s="29">
        <f t="shared" si="62"/>
        <v>6755</v>
      </c>
      <c r="H230" s="29">
        <v>19088</v>
      </c>
      <c r="I230" s="29">
        <v>0</v>
      </c>
      <c r="J230" s="29">
        <f t="shared" si="63"/>
        <v>19088</v>
      </c>
      <c r="K230" s="29">
        <v>1976</v>
      </c>
      <c r="L230" s="29">
        <f t="shared" si="64"/>
        <v>37924</v>
      </c>
      <c r="M230" s="29">
        <v>2806</v>
      </c>
      <c r="N230" s="29">
        <v>0</v>
      </c>
      <c r="O230" s="29">
        <v>3350</v>
      </c>
      <c r="P230" s="29">
        <f t="shared" si="65"/>
        <v>6156</v>
      </c>
      <c r="Q230" s="29">
        <f t="shared" si="66"/>
        <v>44080</v>
      </c>
      <c r="R230" s="29">
        <v>155195</v>
      </c>
      <c r="S230" s="22" t="e">
        <f>SUM(#REF!)</f>
        <v>#REF!</v>
      </c>
      <c r="T230" s="78" t="s">
        <v>31</v>
      </c>
    </row>
    <row r="231" spans="1:20" ht="39.950000000000003" hidden="1" customHeight="1" x14ac:dyDescent="0.25">
      <c r="A231" s="36">
        <v>2006.4528597230601</v>
      </c>
      <c r="B231" s="29">
        <v>7895</v>
      </c>
      <c r="C231" s="116">
        <v>10576</v>
      </c>
      <c r="D231" s="29">
        <f t="shared" si="61"/>
        <v>18471</v>
      </c>
      <c r="E231" s="29">
        <v>5232</v>
      </c>
      <c r="F231" s="29">
        <v>2673</v>
      </c>
      <c r="G231" s="29">
        <f t="shared" si="62"/>
        <v>7905</v>
      </c>
      <c r="H231" s="29">
        <v>19974</v>
      </c>
      <c r="I231" s="29">
        <v>0</v>
      </c>
      <c r="J231" s="29">
        <f t="shared" si="63"/>
        <v>19974</v>
      </c>
      <c r="K231" s="29">
        <v>2037</v>
      </c>
      <c r="L231" s="29">
        <f t="shared" si="64"/>
        <v>48387</v>
      </c>
      <c r="M231" s="29">
        <v>6146</v>
      </c>
      <c r="N231" s="29">
        <v>0</v>
      </c>
      <c r="O231" s="29">
        <v>3517</v>
      </c>
      <c r="P231" s="29">
        <f t="shared" si="65"/>
        <v>9663</v>
      </c>
      <c r="Q231" s="29">
        <f t="shared" si="66"/>
        <v>58050</v>
      </c>
      <c r="R231" s="29">
        <v>75316</v>
      </c>
      <c r="S231" s="22" t="e">
        <f>SUM(#REF!)</f>
        <v>#REF!</v>
      </c>
      <c r="T231" s="78" t="s">
        <v>3</v>
      </c>
    </row>
    <row r="232" spans="1:20" ht="39.950000000000003" hidden="1" customHeight="1" x14ac:dyDescent="0.25">
      <c r="A232" s="36">
        <v>2006.4226369656801</v>
      </c>
      <c r="B232" s="29">
        <f>SUM(B229:B231)</f>
        <v>14169</v>
      </c>
      <c r="C232" s="29">
        <f t="shared" ref="C232:R232" si="67">SUM(C229:C231)</f>
        <v>26283</v>
      </c>
      <c r="D232" s="29">
        <f t="shared" si="67"/>
        <v>40452</v>
      </c>
      <c r="E232" s="29">
        <f t="shared" si="67"/>
        <v>15470</v>
      </c>
      <c r="F232" s="29">
        <f t="shared" si="67"/>
        <v>6607</v>
      </c>
      <c r="G232" s="29">
        <f t="shared" si="67"/>
        <v>22077</v>
      </c>
      <c r="H232" s="29">
        <f t="shared" si="67"/>
        <v>60324</v>
      </c>
      <c r="I232" s="29">
        <f t="shared" si="67"/>
        <v>0</v>
      </c>
      <c r="J232" s="29">
        <f t="shared" si="67"/>
        <v>60324</v>
      </c>
      <c r="K232" s="29">
        <f t="shared" si="67"/>
        <v>4505</v>
      </c>
      <c r="L232" s="29">
        <f t="shared" si="67"/>
        <v>127358</v>
      </c>
      <c r="M232" s="29">
        <f t="shared" si="67"/>
        <v>12626</v>
      </c>
      <c r="N232" s="29">
        <f t="shared" si="67"/>
        <v>0</v>
      </c>
      <c r="O232" s="29">
        <f t="shared" si="67"/>
        <v>10976</v>
      </c>
      <c r="P232" s="29">
        <f t="shared" si="67"/>
        <v>23602</v>
      </c>
      <c r="Q232" s="29">
        <f t="shared" si="67"/>
        <v>150960</v>
      </c>
      <c r="R232" s="29">
        <f t="shared" si="67"/>
        <v>293455</v>
      </c>
      <c r="S232" s="22" t="e">
        <f>SUM(#REF!)</f>
        <v>#REF!</v>
      </c>
      <c r="T232" s="66" t="s">
        <v>32</v>
      </c>
    </row>
    <row r="233" spans="1:20" ht="39.950000000000003" hidden="1" customHeight="1" x14ac:dyDescent="0.25">
      <c r="A233" s="36">
        <v>2006.3924142083099</v>
      </c>
      <c r="B233" s="29">
        <v>3350</v>
      </c>
      <c r="C233" s="116">
        <v>6781</v>
      </c>
      <c r="D233" s="29">
        <f t="shared" si="61"/>
        <v>10131</v>
      </c>
      <c r="E233" s="29">
        <v>5534</v>
      </c>
      <c r="F233" s="29">
        <v>1344</v>
      </c>
      <c r="G233" s="29">
        <f t="shared" si="62"/>
        <v>6878</v>
      </c>
      <c r="H233" s="29">
        <v>22810</v>
      </c>
      <c r="I233" s="29">
        <v>0</v>
      </c>
      <c r="J233" s="29">
        <f t="shared" si="63"/>
        <v>22810</v>
      </c>
      <c r="K233" s="29">
        <v>2613</v>
      </c>
      <c r="L233" s="29">
        <f t="shared" si="64"/>
        <v>42432</v>
      </c>
      <c r="M233" s="29">
        <v>1777</v>
      </c>
      <c r="N233" s="29">
        <v>0</v>
      </c>
      <c r="O233" s="29">
        <v>3525</v>
      </c>
      <c r="P233" s="29">
        <f t="shared" si="65"/>
        <v>5302</v>
      </c>
      <c r="Q233" s="29">
        <f t="shared" si="66"/>
        <v>47734</v>
      </c>
      <c r="R233" s="29">
        <v>98794</v>
      </c>
      <c r="S233" s="22" t="e">
        <f>SUM(#REF!)</f>
        <v>#REF!</v>
      </c>
      <c r="T233" s="78" t="s">
        <v>33</v>
      </c>
    </row>
    <row r="234" spans="1:20" ht="39.950000000000003" hidden="1" customHeight="1" x14ac:dyDescent="0.25">
      <c r="A234" s="36">
        <v>2006.3621914509299</v>
      </c>
      <c r="B234" s="29">
        <v>5669</v>
      </c>
      <c r="C234" s="116">
        <v>9510</v>
      </c>
      <c r="D234" s="29">
        <f t="shared" si="61"/>
        <v>15179</v>
      </c>
      <c r="E234" s="29">
        <v>5007</v>
      </c>
      <c r="F234" s="29">
        <v>960</v>
      </c>
      <c r="G234" s="29">
        <f t="shared" si="62"/>
        <v>5967</v>
      </c>
      <c r="H234" s="29">
        <v>25436</v>
      </c>
      <c r="I234" s="29">
        <v>0</v>
      </c>
      <c r="J234" s="29">
        <f t="shared" si="63"/>
        <v>25436</v>
      </c>
      <c r="K234" s="29">
        <v>2869</v>
      </c>
      <c r="L234" s="29">
        <f t="shared" si="64"/>
        <v>49451</v>
      </c>
      <c r="M234" s="29">
        <v>3417</v>
      </c>
      <c r="N234" s="29">
        <v>0</v>
      </c>
      <c r="O234" s="29">
        <v>4085</v>
      </c>
      <c r="P234" s="29">
        <f t="shared" si="65"/>
        <v>7502</v>
      </c>
      <c r="Q234" s="29">
        <f t="shared" si="66"/>
        <v>56953</v>
      </c>
      <c r="R234" s="29">
        <v>96416</v>
      </c>
      <c r="S234" s="22" t="e">
        <f>SUM(#REF!)</f>
        <v>#REF!</v>
      </c>
      <c r="T234" s="78" t="s">
        <v>34</v>
      </c>
    </row>
    <row r="235" spans="1:20" ht="39.950000000000003" hidden="1" customHeight="1" x14ac:dyDescent="0.25">
      <c r="A235" s="36">
        <v>2006.3319686935599</v>
      </c>
      <c r="B235" s="29">
        <v>8809</v>
      </c>
      <c r="C235" s="116">
        <v>9297</v>
      </c>
      <c r="D235" s="29">
        <f t="shared" si="61"/>
        <v>18106</v>
      </c>
      <c r="E235" s="29">
        <v>11964</v>
      </c>
      <c r="F235" s="29">
        <v>1763</v>
      </c>
      <c r="G235" s="29">
        <f t="shared" si="62"/>
        <v>13727</v>
      </c>
      <c r="H235" s="29">
        <v>17278</v>
      </c>
      <c r="I235" s="29">
        <v>0</v>
      </c>
      <c r="J235" s="29">
        <f t="shared" si="63"/>
        <v>17278</v>
      </c>
      <c r="K235" s="29">
        <v>2154</v>
      </c>
      <c r="L235" s="29">
        <f t="shared" si="64"/>
        <v>51265</v>
      </c>
      <c r="M235" s="29">
        <v>4194</v>
      </c>
      <c r="N235" s="29">
        <v>2056</v>
      </c>
      <c r="O235" s="29">
        <v>3672</v>
      </c>
      <c r="P235" s="29">
        <f t="shared" si="65"/>
        <v>9922</v>
      </c>
      <c r="Q235" s="29">
        <f t="shared" si="66"/>
        <v>61187</v>
      </c>
      <c r="R235" s="29">
        <v>89756</v>
      </c>
      <c r="S235" s="22" t="e">
        <f>SUM(#REF!)</f>
        <v>#REF!</v>
      </c>
      <c r="T235" s="78" t="s">
        <v>0</v>
      </c>
    </row>
    <row r="236" spans="1:20" ht="39.950000000000003" hidden="1" customHeight="1" x14ac:dyDescent="0.25">
      <c r="A236" s="36">
        <v>2006.3017459361799</v>
      </c>
      <c r="B236" s="29">
        <f>SUM(B233:B235)</f>
        <v>17828</v>
      </c>
      <c r="C236" s="29">
        <f>SUM(C233:C235)</f>
        <v>25588</v>
      </c>
      <c r="D236" s="29">
        <f>SUM(D233:D235)</f>
        <v>43416</v>
      </c>
      <c r="E236" s="29">
        <f>SUM(E233:E235)</f>
        <v>22505</v>
      </c>
      <c r="F236" s="29">
        <f>SUM(F233:F235)</f>
        <v>4067</v>
      </c>
      <c r="G236" s="29">
        <f t="shared" ref="G236:R236" si="68">SUM(G233:G235)</f>
        <v>26572</v>
      </c>
      <c r="H236" s="29">
        <f t="shared" si="68"/>
        <v>65524</v>
      </c>
      <c r="I236" s="29">
        <f t="shared" si="68"/>
        <v>0</v>
      </c>
      <c r="J236" s="29">
        <f t="shared" si="68"/>
        <v>65524</v>
      </c>
      <c r="K236" s="29">
        <f t="shared" si="68"/>
        <v>7636</v>
      </c>
      <c r="L236" s="29">
        <f t="shared" si="68"/>
        <v>143148</v>
      </c>
      <c r="M236" s="29">
        <f t="shared" si="68"/>
        <v>9388</v>
      </c>
      <c r="N236" s="29">
        <f t="shared" si="68"/>
        <v>2056</v>
      </c>
      <c r="O236" s="29">
        <f t="shared" si="68"/>
        <v>11282</v>
      </c>
      <c r="P236" s="29">
        <f t="shared" si="68"/>
        <v>22726</v>
      </c>
      <c r="Q236" s="29">
        <f t="shared" si="68"/>
        <v>165874</v>
      </c>
      <c r="R236" s="29">
        <f t="shared" si="68"/>
        <v>284966</v>
      </c>
      <c r="S236" s="22" t="e">
        <f>SUM(#REF!)</f>
        <v>#REF!</v>
      </c>
      <c r="T236" s="66" t="s">
        <v>35</v>
      </c>
    </row>
    <row r="237" spans="1:20" ht="39.950000000000003" hidden="1" customHeight="1" x14ac:dyDescent="0.25">
      <c r="A237" s="36">
        <v>2006.27152317881</v>
      </c>
      <c r="B237" s="29">
        <v>1522</v>
      </c>
      <c r="C237" s="29">
        <v>1522</v>
      </c>
      <c r="D237" s="29">
        <v>1522</v>
      </c>
      <c r="E237" s="29">
        <v>1522</v>
      </c>
      <c r="F237" s="29">
        <v>1522</v>
      </c>
      <c r="G237" s="29">
        <f t="shared" si="62"/>
        <v>3044</v>
      </c>
      <c r="H237" s="29">
        <v>29652</v>
      </c>
      <c r="I237" s="29">
        <v>0</v>
      </c>
      <c r="J237" s="29">
        <f t="shared" si="63"/>
        <v>29652</v>
      </c>
      <c r="K237" s="29">
        <v>2282</v>
      </c>
      <c r="L237" s="29">
        <f t="shared" si="64"/>
        <v>36500</v>
      </c>
      <c r="M237" s="29">
        <v>11363</v>
      </c>
      <c r="N237" s="29">
        <v>0</v>
      </c>
      <c r="O237" s="29">
        <v>3798</v>
      </c>
      <c r="P237" s="29">
        <f t="shared" si="65"/>
        <v>15161</v>
      </c>
      <c r="Q237" s="29">
        <f t="shared" si="66"/>
        <v>51661</v>
      </c>
      <c r="R237" s="29">
        <v>115637</v>
      </c>
      <c r="S237" s="22" t="e">
        <f>SUM(#REF!)</f>
        <v>#REF!</v>
      </c>
      <c r="T237" s="78" t="s">
        <v>1</v>
      </c>
    </row>
    <row r="238" spans="1:20" ht="39.950000000000003" hidden="1" customHeight="1" x14ac:dyDescent="0.25">
      <c r="A238" s="36">
        <v>2006.24130042143</v>
      </c>
      <c r="B238" s="29">
        <v>1431</v>
      </c>
      <c r="C238" s="29">
        <v>1431</v>
      </c>
      <c r="D238" s="29">
        <v>1431</v>
      </c>
      <c r="E238" s="29">
        <v>1431</v>
      </c>
      <c r="F238" s="29">
        <v>1431</v>
      </c>
      <c r="G238" s="29">
        <f t="shared" si="62"/>
        <v>2862</v>
      </c>
      <c r="H238" s="29">
        <v>25712</v>
      </c>
      <c r="I238" s="29">
        <v>0</v>
      </c>
      <c r="J238" s="29">
        <f t="shared" si="63"/>
        <v>25712</v>
      </c>
      <c r="K238" s="29">
        <v>1984</v>
      </c>
      <c r="L238" s="29">
        <f t="shared" si="64"/>
        <v>31989</v>
      </c>
      <c r="M238" s="29">
        <v>2023</v>
      </c>
      <c r="N238" s="29">
        <v>0</v>
      </c>
      <c r="O238" s="29">
        <v>3231</v>
      </c>
      <c r="P238" s="29">
        <f t="shared" si="65"/>
        <v>5254</v>
      </c>
      <c r="Q238" s="29">
        <f t="shared" si="66"/>
        <v>37243</v>
      </c>
      <c r="R238" s="29">
        <v>93067</v>
      </c>
      <c r="S238" s="22" t="e">
        <f>SUM(#REF!)</f>
        <v>#REF!</v>
      </c>
      <c r="T238" s="78" t="s">
        <v>2</v>
      </c>
    </row>
    <row r="239" spans="1:20" ht="39.950000000000003" hidden="1" customHeight="1" x14ac:dyDescent="0.25">
      <c r="A239" s="36">
        <v>2006.21107766406</v>
      </c>
      <c r="B239" s="29">
        <v>572</v>
      </c>
      <c r="C239" s="29">
        <v>572</v>
      </c>
      <c r="D239" s="29">
        <v>572</v>
      </c>
      <c r="E239" s="29">
        <v>572</v>
      </c>
      <c r="F239" s="29">
        <v>572</v>
      </c>
      <c r="G239" s="29">
        <f t="shared" si="62"/>
        <v>1144</v>
      </c>
      <c r="H239" s="29">
        <v>22879</v>
      </c>
      <c r="I239" s="29">
        <v>0</v>
      </c>
      <c r="J239" s="29">
        <f t="shared" si="63"/>
        <v>22879</v>
      </c>
      <c r="K239" s="29">
        <v>673</v>
      </c>
      <c r="L239" s="29">
        <f t="shared" si="64"/>
        <v>25268</v>
      </c>
      <c r="M239" s="29">
        <v>4080</v>
      </c>
      <c r="N239" s="29">
        <v>0</v>
      </c>
      <c r="O239" s="29">
        <v>3648</v>
      </c>
      <c r="P239" s="29">
        <f t="shared" si="65"/>
        <v>7728</v>
      </c>
      <c r="Q239" s="29">
        <f t="shared" si="66"/>
        <v>32996</v>
      </c>
      <c r="R239" s="29">
        <v>100884</v>
      </c>
      <c r="S239" s="22" t="e">
        <f>SUM(#REF!)</f>
        <v>#REF!</v>
      </c>
      <c r="T239" s="78" t="s">
        <v>36</v>
      </c>
    </row>
    <row r="240" spans="1:20" ht="39.950000000000003" hidden="1" customHeight="1" x14ac:dyDescent="0.25">
      <c r="A240" s="36">
        <v>2006.18085490668</v>
      </c>
      <c r="B240" s="29">
        <f>SUM(B237:B239)</f>
        <v>3525</v>
      </c>
      <c r="C240" s="29">
        <f>SUM(C237:C239)</f>
        <v>3525</v>
      </c>
      <c r="D240" s="29">
        <f>SUM(D237:D239)</f>
        <v>3525</v>
      </c>
      <c r="E240" s="29">
        <f>SUM(E237:E239)</f>
        <v>3525</v>
      </c>
      <c r="F240" s="29">
        <f>SUM(F237:F239)</f>
        <v>3525</v>
      </c>
      <c r="G240" s="29">
        <f t="shared" ref="G240:R240" si="69">SUM(G237:G239)</f>
        <v>7050</v>
      </c>
      <c r="H240" s="29">
        <f t="shared" si="69"/>
        <v>78243</v>
      </c>
      <c r="I240" s="29">
        <f t="shared" si="69"/>
        <v>0</v>
      </c>
      <c r="J240" s="29">
        <f t="shared" si="69"/>
        <v>78243</v>
      </c>
      <c r="K240" s="29">
        <f t="shared" si="69"/>
        <v>4939</v>
      </c>
      <c r="L240" s="29">
        <f t="shared" si="69"/>
        <v>93757</v>
      </c>
      <c r="M240" s="29">
        <f t="shared" si="69"/>
        <v>17466</v>
      </c>
      <c r="N240" s="29">
        <f t="shared" si="69"/>
        <v>0</v>
      </c>
      <c r="O240" s="29">
        <f t="shared" si="69"/>
        <v>10677</v>
      </c>
      <c r="P240" s="29">
        <f t="shared" si="69"/>
        <v>28143</v>
      </c>
      <c r="Q240" s="29">
        <f t="shared" si="69"/>
        <v>121900</v>
      </c>
      <c r="R240" s="29">
        <f t="shared" si="69"/>
        <v>309588</v>
      </c>
      <c r="S240" s="22" t="e">
        <f>SUM(#REF!)</f>
        <v>#REF!</v>
      </c>
      <c r="T240" s="66" t="s">
        <v>37</v>
      </c>
    </row>
    <row r="241" spans="1:20" ht="39.950000000000003" hidden="1" customHeight="1" x14ac:dyDescent="0.25">
      <c r="A241" s="36">
        <v>2006.15063214931</v>
      </c>
      <c r="B241" s="29">
        <v>4135</v>
      </c>
      <c r="C241" s="116">
        <v>8575</v>
      </c>
      <c r="D241" s="29">
        <f t="shared" si="61"/>
        <v>12710</v>
      </c>
      <c r="E241" s="29">
        <v>5370</v>
      </c>
      <c r="F241" s="29">
        <v>752</v>
      </c>
      <c r="G241" s="29">
        <f t="shared" si="62"/>
        <v>6122</v>
      </c>
      <c r="H241" s="29">
        <v>25661</v>
      </c>
      <c r="I241" s="29">
        <v>0</v>
      </c>
      <c r="J241" s="29">
        <f t="shared" si="63"/>
        <v>25661</v>
      </c>
      <c r="K241" s="29">
        <v>1403</v>
      </c>
      <c r="L241" s="29">
        <f t="shared" si="64"/>
        <v>45896</v>
      </c>
      <c r="M241" s="29">
        <v>2153</v>
      </c>
      <c r="N241" s="29">
        <v>0</v>
      </c>
      <c r="O241" s="29">
        <v>3888</v>
      </c>
      <c r="P241" s="29">
        <f t="shared" si="65"/>
        <v>6041</v>
      </c>
      <c r="Q241" s="29">
        <f t="shared" si="66"/>
        <v>51937</v>
      </c>
      <c r="R241" s="29">
        <v>69149</v>
      </c>
      <c r="S241" s="22" t="e">
        <f>SUM(#REF!)</f>
        <v>#REF!</v>
      </c>
      <c r="T241" s="78" t="s">
        <v>38</v>
      </c>
    </row>
    <row r="242" spans="1:20" ht="39.950000000000003" hidden="1" customHeight="1" x14ac:dyDescent="0.25">
      <c r="A242" s="36">
        <v>2006.12040939193</v>
      </c>
      <c r="B242" s="29">
        <v>3257</v>
      </c>
      <c r="C242" s="116">
        <v>6233</v>
      </c>
      <c r="D242" s="29">
        <f t="shared" si="61"/>
        <v>9490</v>
      </c>
      <c r="E242" s="29">
        <v>5595</v>
      </c>
      <c r="F242" s="29">
        <v>874</v>
      </c>
      <c r="G242" s="29">
        <f t="shared" si="62"/>
        <v>6469</v>
      </c>
      <c r="H242" s="29">
        <v>22085</v>
      </c>
      <c r="I242" s="29">
        <v>0</v>
      </c>
      <c r="J242" s="29">
        <f t="shared" si="63"/>
        <v>22085</v>
      </c>
      <c r="K242" s="29">
        <v>3175</v>
      </c>
      <c r="L242" s="29">
        <f t="shared" si="64"/>
        <v>41219</v>
      </c>
      <c r="M242" s="29">
        <v>3207</v>
      </c>
      <c r="N242" s="29">
        <v>0</v>
      </c>
      <c r="O242" s="29">
        <v>3442</v>
      </c>
      <c r="P242" s="29">
        <f t="shared" si="65"/>
        <v>6649</v>
      </c>
      <c r="Q242" s="29">
        <f t="shared" si="66"/>
        <v>47868</v>
      </c>
      <c r="R242" s="29">
        <v>69865</v>
      </c>
      <c r="S242" s="22" t="e">
        <f>SUM(#REF!)</f>
        <v>#REF!</v>
      </c>
      <c r="T242" s="78" t="s">
        <v>39</v>
      </c>
    </row>
    <row r="243" spans="1:20" ht="39.950000000000003" hidden="1" customHeight="1" x14ac:dyDescent="0.25">
      <c r="A243" s="36">
        <v>2006.09018663456</v>
      </c>
      <c r="B243" s="29">
        <v>6179</v>
      </c>
      <c r="C243" s="116">
        <v>13159</v>
      </c>
      <c r="D243" s="29">
        <f t="shared" si="61"/>
        <v>19338</v>
      </c>
      <c r="E243" s="29">
        <v>7116</v>
      </c>
      <c r="F243" s="29">
        <v>1024</v>
      </c>
      <c r="G243" s="29">
        <f t="shared" si="62"/>
        <v>8140</v>
      </c>
      <c r="H243" s="29">
        <v>23942</v>
      </c>
      <c r="I243" s="29">
        <v>0</v>
      </c>
      <c r="J243" s="29">
        <f t="shared" si="63"/>
        <v>23942</v>
      </c>
      <c r="K243" s="29">
        <v>2498</v>
      </c>
      <c r="L243" s="29">
        <f t="shared" si="64"/>
        <v>53918</v>
      </c>
      <c r="M243" s="29">
        <v>10109</v>
      </c>
      <c r="N243" s="29">
        <v>0</v>
      </c>
      <c r="O243" s="29">
        <v>0</v>
      </c>
      <c r="P243" s="29">
        <f t="shared" si="65"/>
        <v>10109</v>
      </c>
      <c r="Q243" s="29">
        <f t="shared" si="66"/>
        <v>64027</v>
      </c>
      <c r="R243" s="29">
        <v>61338</v>
      </c>
      <c r="S243" s="22" t="e">
        <f>SUM(#REF!)</f>
        <v>#REF!</v>
      </c>
      <c r="T243" s="78" t="s">
        <v>40</v>
      </c>
    </row>
    <row r="244" spans="1:20" ht="39.950000000000003" hidden="1" customHeight="1" x14ac:dyDescent="0.25">
      <c r="A244" s="36">
        <v>2006.0599638771801</v>
      </c>
      <c r="B244" s="29">
        <f>SUM(B241:B243)</f>
        <v>13571</v>
      </c>
      <c r="C244" s="29">
        <f>SUM(C241:C243)</f>
        <v>27967</v>
      </c>
      <c r="D244" s="29">
        <f>SUM(D241:D243)</f>
        <v>41538</v>
      </c>
      <c r="E244" s="29">
        <f>SUM(E241:E243)</f>
        <v>18081</v>
      </c>
      <c r="F244" s="29">
        <f>SUM(F241:F243)</f>
        <v>2650</v>
      </c>
      <c r="G244" s="29">
        <f t="shared" ref="G244:R244" si="70">SUM(G241:G243)</f>
        <v>20731</v>
      </c>
      <c r="H244" s="29">
        <f t="shared" si="70"/>
        <v>71688</v>
      </c>
      <c r="I244" s="29">
        <f t="shared" si="70"/>
        <v>0</v>
      </c>
      <c r="J244" s="29">
        <f t="shared" si="70"/>
        <v>71688</v>
      </c>
      <c r="K244" s="29">
        <f t="shared" si="70"/>
        <v>7076</v>
      </c>
      <c r="L244" s="29">
        <f t="shared" si="70"/>
        <v>141033</v>
      </c>
      <c r="M244" s="29">
        <f t="shared" si="70"/>
        <v>15469</v>
      </c>
      <c r="N244" s="29">
        <f t="shared" si="70"/>
        <v>0</v>
      </c>
      <c r="O244" s="29">
        <f t="shared" si="70"/>
        <v>7330</v>
      </c>
      <c r="P244" s="29">
        <f t="shared" si="70"/>
        <v>22799</v>
      </c>
      <c r="Q244" s="29">
        <f t="shared" si="70"/>
        <v>163832</v>
      </c>
      <c r="R244" s="29">
        <f t="shared" si="70"/>
        <v>200352</v>
      </c>
      <c r="S244" s="22">
        <f>SUM(S338:S338)</f>
        <v>0</v>
      </c>
      <c r="T244" s="66" t="s">
        <v>41</v>
      </c>
    </row>
    <row r="245" spans="1:20" ht="30.75" hidden="1" customHeight="1" x14ac:dyDescent="0.25">
      <c r="A245" s="36">
        <v>2006.0297411198101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2">
        <f>SUM(S338:S339)</f>
        <v>-120114</v>
      </c>
      <c r="T245" s="66"/>
    </row>
    <row r="246" spans="1:20" ht="30.75" hidden="1" customHeight="1" x14ac:dyDescent="0.25">
      <c r="A246" s="36">
        <v>2005.9995183624301</v>
      </c>
      <c r="B246" s="48"/>
      <c r="C246" s="48"/>
      <c r="D246" s="29"/>
      <c r="E246" s="48"/>
      <c r="F246" s="48"/>
      <c r="G246" s="29"/>
      <c r="H246" s="48"/>
      <c r="I246" s="48"/>
      <c r="J246" s="29"/>
      <c r="K246" s="48"/>
      <c r="L246" s="29"/>
      <c r="M246" s="48"/>
      <c r="N246" s="48"/>
      <c r="O246" s="48"/>
      <c r="P246" s="29"/>
      <c r="Q246" s="48"/>
      <c r="R246" s="48"/>
      <c r="S246" s="22">
        <f>SUM(S338:S340)</f>
        <v>-197520</v>
      </c>
      <c r="T246" s="66">
        <v>2009</v>
      </c>
    </row>
    <row r="247" spans="1:20" s="122" customFormat="1" ht="30" hidden="1" customHeight="1" x14ac:dyDescent="0.25">
      <c r="A247" s="36">
        <v>2005.9692956050601</v>
      </c>
      <c r="B247" s="124">
        <v>3735</v>
      </c>
      <c r="C247" s="124">
        <v>9346</v>
      </c>
      <c r="D247" s="124">
        <f t="shared" ref="D247:D277" si="71">B247+C247</f>
        <v>13081</v>
      </c>
      <c r="E247" s="124">
        <v>5736</v>
      </c>
      <c r="F247" s="124">
        <v>743</v>
      </c>
      <c r="G247" s="124">
        <f t="shared" ref="G247:G268" si="72">E247+F247</f>
        <v>6479</v>
      </c>
      <c r="H247" s="124">
        <v>23521</v>
      </c>
      <c r="I247" s="124">
        <v>0</v>
      </c>
      <c r="J247" s="124">
        <f t="shared" ref="J247:J277" si="73">H247+I247</f>
        <v>23521</v>
      </c>
      <c r="K247" s="124">
        <v>2478</v>
      </c>
      <c r="L247" s="124">
        <f t="shared" ref="L247:L268" si="74">D247+G247+J247+K247</f>
        <v>45559</v>
      </c>
      <c r="M247" s="124">
        <v>1858</v>
      </c>
      <c r="N247" s="124">
        <v>0</v>
      </c>
      <c r="O247" s="124">
        <v>4643</v>
      </c>
      <c r="P247" s="124">
        <f t="shared" ref="P247:P274" si="75">M247+N247+O247</f>
        <v>6501</v>
      </c>
      <c r="Q247" s="135">
        <f t="shared" ref="Q247:Q274" si="76">L247+P247</f>
        <v>52060</v>
      </c>
      <c r="R247" s="124">
        <v>76967</v>
      </c>
      <c r="S247" s="22">
        <f>SUM(S338:S341)</f>
        <v>-200587</v>
      </c>
      <c r="T247" s="136" t="s">
        <v>30</v>
      </c>
    </row>
    <row r="248" spans="1:20" ht="30" hidden="1" customHeight="1" x14ac:dyDescent="0.25">
      <c r="A248" s="36">
        <v>2005.9390728476801</v>
      </c>
      <c r="B248" s="124">
        <v>2313</v>
      </c>
      <c r="C248" s="124">
        <v>8063</v>
      </c>
      <c r="D248" s="124">
        <f t="shared" si="71"/>
        <v>10376</v>
      </c>
      <c r="E248" s="124">
        <v>3233</v>
      </c>
      <c r="F248" s="126">
        <v>384</v>
      </c>
      <c r="G248" s="126">
        <f t="shared" si="72"/>
        <v>3617</v>
      </c>
      <c r="H248" s="126">
        <v>21764</v>
      </c>
      <c r="I248" s="126">
        <v>0</v>
      </c>
      <c r="J248" s="126">
        <f t="shared" si="73"/>
        <v>21764</v>
      </c>
      <c r="K248" s="126">
        <v>1814</v>
      </c>
      <c r="L248" s="126">
        <f t="shared" si="74"/>
        <v>37571</v>
      </c>
      <c r="M248" s="126">
        <v>3105</v>
      </c>
      <c r="N248" s="126">
        <v>0</v>
      </c>
      <c r="O248" s="126">
        <v>3961</v>
      </c>
      <c r="P248" s="126">
        <f t="shared" si="75"/>
        <v>7066</v>
      </c>
      <c r="Q248" s="29">
        <f t="shared" si="76"/>
        <v>44637</v>
      </c>
      <c r="R248" s="126">
        <v>80351</v>
      </c>
      <c r="S248" s="22">
        <f>SUM(S338:S342)</f>
        <v>-416240</v>
      </c>
      <c r="T248" s="137" t="s">
        <v>31</v>
      </c>
    </row>
    <row r="249" spans="1:20" ht="30" hidden="1" customHeight="1" x14ac:dyDescent="0.25">
      <c r="A249" s="36">
        <v>2005.9088500903099</v>
      </c>
      <c r="B249" s="124">
        <v>7910</v>
      </c>
      <c r="C249" s="124">
        <v>11177</v>
      </c>
      <c r="D249" s="124">
        <f t="shared" si="71"/>
        <v>19087</v>
      </c>
      <c r="E249" s="124">
        <v>5704</v>
      </c>
      <c r="F249" s="126">
        <v>1068</v>
      </c>
      <c r="G249" s="126">
        <f t="shared" si="72"/>
        <v>6772</v>
      </c>
      <c r="H249" s="126">
        <v>26779</v>
      </c>
      <c r="I249" s="126">
        <v>0</v>
      </c>
      <c r="J249" s="126">
        <f t="shared" si="73"/>
        <v>26779</v>
      </c>
      <c r="K249" s="126">
        <v>2966</v>
      </c>
      <c r="L249" s="126">
        <f t="shared" si="74"/>
        <v>55604</v>
      </c>
      <c r="M249" s="126">
        <v>2291</v>
      </c>
      <c r="N249" s="126">
        <v>0</v>
      </c>
      <c r="O249" s="126">
        <v>3665</v>
      </c>
      <c r="P249" s="126">
        <f t="shared" si="75"/>
        <v>5956</v>
      </c>
      <c r="Q249" s="29">
        <f t="shared" si="76"/>
        <v>61560</v>
      </c>
      <c r="R249" s="126">
        <v>115951</v>
      </c>
      <c r="S249" s="22">
        <f>SUM(S338:S343)</f>
        <v>-564873</v>
      </c>
      <c r="T249" s="137" t="s">
        <v>3</v>
      </c>
    </row>
    <row r="250" spans="1:20" ht="30" hidden="1" customHeight="1" x14ac:dyDescent="0.25">
      <c r="A250" s="36" t="s">
        <v>33</v>
      </c>
      <c r="B250" s="124">
        <f>SUM(B247:B249)</f>
        <v>13958</v>
      </c>
      <c r="C250" s="124">
        <f t="shared" ref="C250:R250" si="77">SUM(C247:C249)</f>
        <v>28586</v>
      </c>
      <c r="D250" s="124">
        <f t="shared" si="77"/>
        <v>42544</v>
      </c>
      <c r="E250" s="124">
        <f t="shared" si="77"/>
        <v>14673</v>
      </c>
      <c r="F250" s="124">
        <f t="shared" si="77"/>
        <v>2195</v>
      </c>
      <c r="G250" s="124">
        <f t="shared" si="77"/>
        <v>16868</v>
      </c>
      <c r="H250" s="124">
        <f t="shared" si="77"/>
        <v>72064</v>
      </c>
      <c r="I250" s="124">
        <f t="shared" si="77"/>
        <v>0</v>
      </c>
      <c r="J250" s="124">
        <f t="shared" si="77"/>
        <v>72064</v>
      </c>
      <c r="K250" s="124">
        <f t="shared" si="77"/>
        <v>7258</v>
      </c>
      <c r="L250" s="124">
        <f t="shared" si="77"/>
        <v>138734</v>
      </c>
      <c r="M250" s="124">
        <f t="shared" si="77"/>
        <v>7254</v>
      </c>
      <c r="N250" s="124">
        <f t="shared" si="77"/>
        <v>0</v>
      </c>
      <c r="O250" s="124">
        <f t="shared" si="77"/>
        <v>12269</v>
      </c>
      <c r="P250" s="124">
        <f t="shared" si="77"/>
        <v>19523</v>
      </c>
      <c r="Q250" s="124">
        <f t="shared" si="77"/>
        <v>158257</v>
      </c>
      <c r="R250" s="124">
        <f t="shared" si="77"/>
        <v>273269</v>
      </c>
      <c r="S250" s="22">
        <f>SUM(S338:S344)</f>
        <v>-615104</v>
      </c>
      <c r="T250" s="66" t="s">
        <v>32</v>
      </c>
    </row>
    <row r="251" spans="1:20" ht="36.75" hidden="1" customHeight="1" x14ac:dyDescent="0.25">
      <c r="A251" s="36" t="s">
        <v>34</v>
      </c>
      <c r="B251" s="124">
        <v>2886</v>
      </c>
      <c r="C251" s="124">
        <v>8811</v>
      </c>
      <c r="D251" s="124">
        <f t="shared" si="71"/>
        <v>11697</v>
      </c>
      <c r="E251" s="124">
        <v>7291</v>
      </c>
      <c r="F251" s="126">
        <v>1252</v>
      </c>
      <c r="G251" s="126">
        <f t="shared" si="72"/>
        <v>8543</v>
      </c>
      <c r="H251" s="126">
        <v>27547</v>
      </c>
      <c r="I251" s="126">
        <v>0</v>
      </c>
      <c r="J251" s="126">
        <f t="shared" si="73"/>
        <v>27547</v>
      </c>
      <c r="K251" s="126">
        <v>1919</v>
      </c>
      <c r="L251" s="126">
        <f t="shared" si="74"/>
        <v>49706</v>
      </c>
      <c r="M251" s="126">
        <v>3305</v>
      </c>
      <c r="N251" s="126">
        <v>0</v>
      </c>
      <c r="O251" s="126">
        <v>4257</v>
      </c>
      <c r="P251" s="126">
        <f t="shared" si="75"/>
        <v>7562</v>
      </c>
      <c r="Q251" s="29">
        <f t="shared" si="76"/>
        <v>57268</v>
      </c>
      <c r="R251" s="126">
        <v>122750</v>
      </c>
      <c r="S251" s="22">
        <f>SUM(S338:S345)</f>
        <v>-839861</v>
      </c>
      <c r="T251" s="137" t="s">
        <v>33</v>
      </c>
    </row>
    <row r="252" spans="1:20" ht="36.75" hidden="1" customHeight="1" x14ac:dyDescent="0.25">
      <c r="A252" s="36" t="s">
        <v>0</v>
      </c>
      <c r="B252" s="124">
        <v>3245</v>
      </c>
      <c r="C252" s="124">
        <v>13255</v>
      </c>
      <c r="D252" s="124">
        <f t="shared" si="71"/>
        <v>16500</v>
      </c>
      <c r="E252" s="124">
        <v>8939</v>
      </c>
      <c r="F252" s="126">
        <v>1415</v>
      </c>
      <c r="G252" s="126">
        <f t="shared" si="72"/>
        <v>10354</v>
      </c>
      <c r="H252" s="126">
        <v>27384</v>
      </c>
      <c r="I252" s="126">
        <v>0</v>
      </c>
      <c r="J252" s="126">
        <f t="shared" si="73"/>
        <v>27384</v>
      </c>
      <c r="K252" s="126">
        <v>3090</v>
      </c>
      <c r="L252" s="126">
        <f t="shared" si="74"/>
        <v>57328</v>
      </c>
      <c r="M252" s="126">
        <v>3029</v>
      </c>
      <c r="N252" s="126">
        <v>2056</v>
      </c>
      <c r="O252" s="126">
        <v>4408</v>
      </c>
      <c r="P252" s="126">
        <f t="shared" si="75"/>
        <v>9493</v>
      </c>
      <c r="Q252" s="29">
        <f t="shared" si="76"/>
        <v>66821</v>
      </c>
      <c r="R252" s="126">
        <v>165332</v>
      </c>
      <c r="S252" s="22">
        <f>SUM(S338:S346)</f>
        <v>-1065315</v>
      </c>
      <c r="T252" s="137" t="s">
        <v>34</v>
      </c>
    </row>
    <row r="253" spans="1:20" ht="36.75" hidden="1" customHeight="1" x14ac:dyDescent="0.25">
      <c r="A253" s="36" t="s">
        <v>32</v>
      </c>
      <c r="B253" s="124">
        <v>7932</v>
      </c>
      <c r="C253" s="124">
        <v>6304</v>
      </c>
      <c r="D253" s="124">
        <f t="shared" si="71"/>
        <v>14236</v>
      </c>
      <c r="E253" s="124">
        <v>10955</v>
      </c>
      <c r="F253" s="126">
        <v>1458</v>
      </c>
      <c r="G253" s="126">
        <f t="shared" si="72"/>
        <v>12413</v>
      </c>
      <c r="H253" s="126">
        <v>26471</v>
      </c>
      <c r="I253" s="126">
        <v>0</v>
      </c>
      <c r="J253" s="126">
        <f t="shared" si="73"/>
        <v>26471</v>
      </c>
      <c r="K253" s="126">
        <v>2495</v>
      </c>
      <c r="L253" s="126">
        <f t="shared" si="74"/>
        <v>55615</v>
      </c>
      <c r="M253" s="126">
        <v>4509</v>
      </c>
      <c r="N253" s="126">
        <v>0</v>
      </c>
      <c r="O253" s="126">
        <v>4334</v>
      </c>
      <c r="P253" s="126">
        <f t="shared" si="75"/>
        <v>8843</v>
      </c>
      <c r="Q253" s="29">
        <f t="shared" si="76"/>
        <v>64458</v>
      </c>
      <c r="R253" s="126">
        <v>94258</v>
      </c>
      <c r="S253" s="22">
        <f>SUM(S338:S347)</f>
        <v>-1397487</v>
      </c>
      <c r="T253" s="137" t="s">
        <v>0</v>
      </c>
    </row>
    <row r="254" spans="1:20" ht="36.75" hidden="1" customHeight="1" x14ac:dyDescent="0.25">
      <c r="A254" s="36" t="s">
        <v>1</v>
      </c>
      <c r="B254" s="124">
        <f>SUM(B251:B253)</f>
        <v>14063</v>
      </c>
      <c r="C254" s="124">
        <f t="shared" ref="C254:R254" si="78">SUM(C251:C253)</f>
        <v>28370</v>
      </c>
      <c r="D254" s="124">
        <f t="shared" si="78"/>
        <v>42433</v>
      </c>
      <c r="E254" s="124">
        <f t="shared" si="78"/>
        <v>27185</v>
      </c>
      <c r="F254" s="124">
        <f t="shared" si="78"/>
        <v>4125</v>
      </c>
      <c r="G254" s="124">
        <f t="shared" si="78"/>
        <v>31310</v>
      </c>
      <c r="H254" s="124">
        <f t="shared" si="78"/>
        <v>81402</v>
      </c>
      <c r="I254" s="124">
        <f t="shared" si="78"/>
        <v>0</v>
      </c>
      <c r="J254" s="124">
        <f t="shared" si="78"/>
        <v>81402</v>
      </c>
      <c r="K254" s="124">
        <f t="shared" si="78"/>
        <v>7504</v>
      </c>
      <c r="L254" s="124">
        <f t="shared" si="78"/>
        <v>162649</v>
      </c>
      <c r="M254" s="124">
        <f t="shared" si="78"/>
        <v>10843</v>
      </c>
      <c r="N254" s="124">
        <f t="shared" si="78"/>
        <v>2056</v>
      </c>
      <c r="O254" s="124">
        <f t="shared" si="78"/>
        <v>12999</v>
      </c>
      <c r="P254" s="124">
        <f t="shared" si="78"/>
        <v>25898</v>
      </c>
      <c r="Q254" s="124">
        <f t="shared" si="78"/>
        <v>188547</v>
      </c>
      <c r="R254" s="124">
        <f t="shared" si="78"/>
        <v>382340</v>
      </c>
      <c r="S254" s="22">
        <f>SUM(S338:S348)</f>
        <v>-1753042</v>
      </c>
      <c r="T254" s="66" t="s">
        <v>35</v>
      </c>
    </row>
    <row r="255" spans="1:20" ht="36" hidden="1" customHeight="1" x14ac:dyDescent="0.25">
      <c r="A255" s="36" t="s">
        <v>2</v>
      </c>
      <c r="B255" s="124">
        <v>3881</v>
      </c>
      <c r="C255" s="124">
        <v>11424</v>
      </c>
      <c r="D255" s="126">
        <f t="shared" si="71"/>
        <v>15305</v>
      </c>
      <c r="E255" s="124">
        <f>8977+1683</f>
        <v>10660</v>
      </c>
      <c r="F255" s="126">
        <v>1068</v>
      </c>
      <c r="G255" s="126">
        <f t="shared" si="72"/>
        <v>11728</v>
      </c>
      <c r="H255" s="124">
        <v>27342</v>
      </c>
      <c r="I255" s="124">
        <v>0</v>
      </c>
      <c r="J255" s="126">
        <f t="shared" si="73"/>
        <v>27342</v>
      </c>
      <c r="K255" s="126">
        <v>2526</v>
      </c>
      <c r="L255" s="126">
        <f t="shared" si="74"/>
        <v>56901</v>
      </c>
      <c r="M255" s="124">
        <v>3805</v>
      </c>
      <c r="N255" s="124">
        <v>0</v>
      </c>
      <c r="O255" s="124">
        <v>3803</v>
      </c>
      <c r="P255" s="126">
        <f t="shared" si="75"/>
        <v>7608</v>
      </c>
      <c r="Q255" s="29">
        <f t="shared" si="76"/>
        <v>64509</v>
      </c>
      <c r="R255" s="126">
        <v>125005</v>
      </c>
      <c r="S255" s="22">
        <f t="shared" ref="S255" si="79">SUM(S338:S349)</f>
        <v>-1933931</v>
      </c>
      <c r="T255" s="137" t="s">
        <v>1</v>
      </c>
    </row>
    <row r="256" spans="1:20" ht="36" hidden="1" customHeight="1" x14ac:dyDescent="0.25">
      <c r="A256" s="36" t="s">
        <v>36</v>
      </c>
      <c r="B256" s="124">
        <v>5276</v>
      </c>
      <c r="C256" s="124">
        <v>11429</v>
      </c>
      <c r="D256" s="126">
        <f t="shared" si="71"/>
        <v>16705</v>
      </c>
      <c r="E256" s="124">
        <f>6817+411</f>
        <v>7228</v>
      </c>
      <c r="F256" s="126">
        <v>681</v>
      </c>
      <c r="G256" s="126">
        <f t="shared" si="72"/>
        <v>7909</v>
      </c>
      <c r="H256" s="124">
        <v>25031</v>
      </c>
      <c r="I256" s="124">
        <v>0</v>
      </c>
      <c r="J256" s="126">
        <f t="shared" si="73"/>
        <v>25031</v>
      </c>
      <c r="K256" s="126">
        <v>1918</v>
      </c>
      <c r="L256" s="126">
        <f t="shared" si="74"/>
        <v>51563</v>
      </c>
      <c r="M256" s="124">
        <v>10371</v>
      </c>
      <c r="N256" s="124">
        <v>0</v>
      </c>
      <c r="O256" s="124">
        <v>3470</v>
      </c>
      <c r="P256" s="126">
        <f t="shared" si="75"/>
        <v>13841</v>
      </c>
      <c r="Q256" s="29">
        <f t="shared" si="76"/>
        <v>65404</v>
      </c>
      <c r="R256" s="126">
        <v>150659</v>
      </c>
      <c r="S256" s="22">
        <f t="shared" ref="S256" si="80">SUM(S339:S350)</f>
        <v>-2049228</v>
      </c>
      <c r="T256" s="137" t="s">
        <v>2</v>
      </c>
    </row>
    <row r="257" spans="1:20" ht="36" hidden="1" customHeight="1" x14ac:dyDescent="0.25">
      <c r="A257" s="36" t="s">
        <v>35</v>
      </c>
      <c r="B257" s="124">
        <v>7485</v>
      </c>
      <c r="C257" s="124">
        <v>9848</v>
      </c>
      <c r="D257" s="126">
        <f t="shared" si="71"/>
        <v>17333</v>
      </c>
      <c r="E257" s="124">
        <f>8107+347</f>
        <v>8454</v>
      </c>
      <c r="F257" s="126">
        <f>884+440</f>
        <v>1324</v>
      </c>
      <c r="G257" s="126">
        <f t="shared" si="72"/>
        <v>9778</v>
      </c>
      <c r="H257" s="124">
        <v>25694</v>
      </c>
      <c r="I257" s="124">
        <v>0</v>
      </c>
      <c r="J257" s="126">
        <f t="shared" si="73"/>
        <v>25694</v>
      </c>
      <c r="K257" s="126">
        <v>1984</v>
      </c>
      <c r="L257" s="126">
        <f t="shared" si="74"/>
        <v>54789</v>
      </c>
      <c r="M257" s="124">
        <v>14472</v>
      </c>
      <c r="N257" s="124">
        <v>0</v>
      </c>
      <c r="O257" s="124">
        <v>3688</v>
      </c>
      <c r="P257" s="126">
        <f t="shared" si="75"/>
        <v>18160</v>
      </c>
      <c r="Q257" s="29">
        <f t="shared" si="76"/>
        <v>72949</v>
      </c>
      <c r="R257" s="126">
        <v>150757</v>
      </c>
      <c r="S257" s="22">
        <f t="shared" ref="S257" si="81">SUM(S340:S356)</f>
        <v>-2309423</v>
      </c>
      <c r="T257" s="137" t="s">
        <v>36</v>
      </c>
    </row>
    <row r="258" spans="1:20" ht="36" hidden="1" customHeight="1" x14ac:dyDescent="0.25">
      <c r="A258" s="36" t="s">
        <v>38</v>
      </c>
      <c r="B258" s="29">
        <f t="shared" ref="B258:R258" si="82">SUM(B255:B257)</f>
        <v>16642</v>
      </c>
      <c r="C258" s="29">
        <f t="shared" si="82"/>
        <v>32701</v>
      </c>
      <c r="D258" s="29">
        <f t="shared" si="82"/>
        <v>49343</v>
      </c>
      <c r="E258" s="29">
        <f t="shared" si="82"/>
        <v>26342</v>
      </c>
      <c r="F258" s="29">
        <f t="shared" si="82"/>
        <v>3073</v>
      </c>
      <c r="G258" s="29">
        <f t="shared" si="82"/>
        <v>29415</v>
      </c>
      <c r="H258" s="29">
        <f t="shared" si="82"/>
        <v>78067</v>
      </c>
      <c r="I258" s="29">
        <f t="shared" si="82"/>
        <v>0</v>
      </c>
      <c r="J258" s="29">
        <f t="shared" si="82"/>
        <v>78067</v>
      </c>
      <c r="K258" s="29">
        <f t="shared" si="82"/>
        <v>6428</v>
      </c>
      <c r="L258" s="29">
        <f t="shared" si="82"/>
        <v>163253</v>
      </c>
      <c r="M258" s="29">
        <f t="shared" si="82"/>
        <v>28648</v>
      </c>
      <c r="N258" s="29">
        <f t="shared" si="82"/>
        <v>0</v>
      </c>
      <c r="O258" s="29">
        <f t="shared" si="82"/>
        <v>10961</v>
      </c>
      <c r="P258" s="29">
        <f t="shared" si="82"/>
        <v>39609</v>
      </c>
      <c r="Q258" s="29">
        <f t="shared" si="82"/>
        <v>202862</v>
      </c>
      <c r="R258" s="29">
        <f t="shared" si="82"/>
        <v>426421</v>
      </c>
      <c r="S258" s="22">
        <f t="shared" ref="S258" si="83">SUM(S341:S357)</f>
        <v>-2536317</v>
      </c>
      <c r="T258" s="66" t="s">
        <v>37</v>
      </c>
    </row>
    <row r="259" spans="1:20" ht="36" hidden="1" customHeight="1" x14ac:dyDescent="0.25">
      <c r="A259" s="36" t="s">
        <v>39</v>
      </c>
      <c r="B259" s="124">
        <v>3386</v>
      </c>
      <c r="C259" s="124">
        <v>10462</v>
      </c>
      <c r="D259" s="126">
        <f t="shared" si="71"/>
        <v>13848</v>
      </c>
      <c r="E259" s="124">
        <f>8029+766</f>
        <v>8795</v>
      </c>
      <c r="F259" s="126">
        <f>1145+965</f>
        <v>2110</v>
      </c>
      <c r="G259" s="126">
        <f t="shared" si="72"/>
        <v>10905</v>
      </c>
      <c r="H259" s="124">
        <v>23441</v>
      </c>
      <c r="I259" s="124">
        <v>0</v>
      </c>
      <c r="J259" s="124">
        <f t="shared" si="73"/>
        <v>23441</v>
      </c>
      <c r="K259" s="126">
        <v>1676</v>
      </c>
      <c r="L259" s="126">
        <f t="shared" si="74"/>
        <v>49870</v>
      </c>
      <c r="M259" s="124">
        <f>1003+4301</f>
        <v>5304</v>
      </c>
      <c r="N259" s="124">
        <v>0</v>
      </c>
      <c r="O259" s="124">
        <v>4084</v>
      </c>
      <c r="P259" s="126">
        <f t="shared" si="75"/>
        <v>9388</v>
      </c>
      <c r="Q259" s="29">
        <f t="shared" si="76"/>
        <v>59258</v>
      </c>
      <c r="R259" s="126">
        <v>133799</v>
      </c>
      <c r="S259" s="22">
        <f t="shared" ref="S259" si="84">SUM(S342:S358)</f>
        <v>-2832543</v>
      </c>
      <c r="T259" s="137" t="s">
        <v>38</v>
      </c>
    </row>
    <row r="260" spans="1:20" ht="36" hidden="1" customHeight="1" x14ac:dyDescent="0.25">
      <c r="A260" s="36" t="s">
        <v>40</v>
      </c>
      <c r="B260" s="124">
        <v>3117</v>
      </c>
      <c r="C260" s="124">
        <v>8866</v>
      </c>
      <c r="D260" s="126">
        <f t="shared" si="71"/>
        <v>11983</v>
      </c>
      <c r="E260" s="124">
        <f>5964+1602</f>
        <v>7566</v>
      </c>
      <c r="F260" s="126">
        <f>540+264</f>
        <v>804</v>
      </c>
      <c r="G260" s="126">
        <f t="shared" si="72"/>
        <v>8370</v>
      </c>
      <c r="H260" s="124">
        <v>24631</v>
      </c>
      <c r="I260" s="124">
        <v>0</v>
      </c>
      <c r="J260" s="124">
        <f t="shared" si="73"/>
        <v>24631</v>
      </c>
      <c r="K260" s="126">
        <v>2593</v>
      </c>
      <c r="L260" s="126">
        <f t="shared" si="74"/>
        <v>47577</v>
      </c>
      <c r="M260" s="124">
        <f>2697+3880-300</f>
        <v>6277</v>
      </c>
      <c r="N260" s="124">
        <v>300</v>
      </c>
      <c r="O260" s="124">
        <v>4156</v>
      </c>
      <c r="P260" s="126">
        <f t="shared" si="75"/>
        <v>10733</v>
      </c>
      <c r="Q260" s="29">
        <f t="shared" si="76"/>
        <v>58310</v>
      </c>
      <c r="R260" s="126">
        <v>121589</v>
      </c>
      <c r="S260" s="22">
        <f t="shared" ref="S260" si="85">SUM(S343:S359)</f>
        <v>-2747064</v>
      </c>
      <c r="T260" s="137" t="s">
        <v>39</v>
      </c>
    </row>
    <row r="261" spans="1:20" ht="36" hidden="1" customHeight="1" x14ac:dyDescent="0.25">
      <c r="A261" s="36" t="s">
        <v>37</v>
      </c>
      <c r="B261" s="124">
        <v>10564</v>
      </c>
      <c r="C261" s="124">
        <v>11658</v>
      </c>
      <c r="D261" s="126">
        <f t="shared" si="71"/>
        <v>22222</v>
      </c>
      <c r="E261" s="124">
        <f>6140+7</f>
        <v>6147</v>
      </c>
      <c r="F261" s="126">
        <f>526+549</f>
        <v>1075</v>
      </c>
      <c r="G261" s="126">
        <f t="shared" si="72"/>
        <v>7222</v>
      </c>
      <c r="H261" s="124">
        <v>37599</v>
      </c>
      <c r="I261" s="124">
        <v>0</v>
      </c>
      <c r="J261" s="124">
        <f t="shared" si="73"/>
        <v>37599</v>
      </c>
      <c r="K261" s="126">
        <v>3343</v>
      </c>
      <c r="L261" s="126">
        <f t="shared" si="74"/>
        <v>70386</v>
      </c>
      <c r="M261" s="124">
        <f>1358+5291</f>
        <v>6649</v>
      </c>
      <c r="N261" s="124">
        <v>0</v>
      </c>
      <c r="O261" s="124">
        <v>4386</v>
      </c>
      <c r="P261" s="126">
        <f t="shared" si="75"/>
        <v>11035</v>
      </c>
      <c r="Q261" s="29">
        <f t="shared" si="76"/>
        <v>81421</v>
      </c>
      <c r="R261" s="126">
        <v>119991</v>
      </c>
      <c r="S261" s="22">
        <f t="shared" ref="S261" si="86">SUM(S344:S360)</f>
        <v>-2743352</v>
      </c>
      <c r="T261" s="137" t="s">
        <v>40</v>
      </c>
    </row>
    <row r="262" spans="1:20" ht="36" hidden="1" customHeight="1" x14ac:dyDescent="0.25">
      <c r="A262" s="36" t="s">
        <v>30</v>
      </c>
      <c r="B262" s="124">
        <f>SUM(B259:B261)</f>
        <v>17067</v>
      </c>
      <c r="C262" s="124">
        <f t="shared" ref="C262:R262" si="87">SUM(C259:C261)</f>
        <v>30986</v>
      </c>
      <c r="D262" s="124">
        <f t="shared" si="87"/>
        <v>48053</v>
      </c>
      <c r="E262" s="124">
        <f t="shared" si="87"/>
        <v>22508</v>
      </c>
      <c r="F262" s="124">
        <f t="shared" si="87"/>
        <v>3989</v>
      </c>
      <c r="G262" s="124">
        <f t="shared" si="87"/>
        <v>26497</v>
      </c>
      <c r="H262" s="124">
        <f t="shared" si="87"/>
        <v>85671</v>
      </c>
      <c r="I262" s="124">
        <f t="shared" si="87"/>
        <v>0</v>
      </c>
      <c r="J262" s="124">
        <f t="shared" si="87"/>
        <v>85671</v>
      </c>
      <c r="K262" s="124">
        <f t="shared" si="87"/>
        <v>7612</v>
      </c>
      <c r="L262" s="124">
        <f t="shared" si="87"/>
        <v>167833</v>
      </c>
      <c r="M262" s="124">
        <f t="shared" si="87"/>
        <v>18230</v>
      </c>
      <c r="N262" s="124">
        <f t="shared" si="87"/>
        <v>300</v>
      </c>
      <c r="O262" s="124">
        <f t="shared" si="87"/>
        <v>12626</v>
      </c>
      <c r="P262" s="124">
        <f t="shared" si="87"/>
        <v>31156</v>
      </c>
      <c r="Q262" s="124">
        <f t="shared" si="87"/>
        <v>198989</v>
      </c>
      <c r="R262" s="124">
        <f t="shared" si="87"/>
        <v>375379</v>
      </c>
      <c r="S262" s="22">
        <f t="shared" ref="S262" si="88">SUM(S345:S361)</f>
        <v>-2860621</v>
      </c>
      <c r="T262" s="66" t="s">
        <v>41</v>
      </c>
    </row>
    <row r="263" spans="1:20" ht="36" customHeight="1" x14ac:dyDescent="0.25">
      <c r="A263" s="36">
        <v>2013</v>
      </c>
      <c r="B263" s="124" t="e">
        <f>SUM(#REF!)</f>
        <v>#REF!</v>
      </c>
      <c r="C263" s="124" t="e">
        <f>SUM(#REF!)</f>
        <v>#REF!</v>
      </c>
      <c r="D263" s="124" t="e">
        <f>SUM(#REF!)</f>
        <v>#REF!</v>
      </c>
      <c r="E263" s="124" t="e">
        <f>SUM(#REF!)</f>
        <v>#REF!</v>
      </c>
      <c r="F263" s="124" t="e">
        <f>SUM(#REF!)</f>
        <v>#REF!</v>
      </c>
      <c r="G263" s="124" t="e">
        <f>SUM(#REF!)</f>
        <v>#REF!</v>
      </c>
      <c r="H263" s="124" t="e">
        <f>SUM(#REF!)</f>
        <v>#REF!</v>
      </c>
      <c r="I263" s="124" t="e">
        <f>SUM(#REF!)</f>
        <v>#REF!</v>
      </c>
      <c r="J263" s="124" t="e">
        <f>SUM(#REF!)</f>
        <v>#REF!</v>
      </c>
      <c r="K263" s="124" t="e">
        <f>SUM(#REF!)</f>
        <v>#REF!</v>
      </c>
      <c r="L263" s="124" t="e">
        <f>SUM(#REF!)</f>
        <v>#REF!</v>
      </c>
      <c r="M263" s="124" t="e">
        <f>SUM(#REF!)</f>
        <v>#REF!</v>
      </c>
      <c r="N263" s="124" t="e">
        <f>SUM(#REF!)</f>
        <v>#REF!</v>
      </c>
      <c r="O263" s="124" t="e">
        <f>SUM(#REF!)</f>
        <v>#REF!</v>
      </c>
      <c r="P263" s="124" t="e">
        <f>SUM(#REF!)</f>
        <v>#REF!</v>
      </c>
      <c r="Q263" s="124" t="e">
        <f>SUM(#REF!)</f>
        <v>#REF!</v>
      </c>
      <c r="R263" s="124" t="e">
        <f>SUM(#REF!)</f>
        <v>#REF!</v>
      </c>
      <c r="S263" s="22" t="e">
        <f>SUM(#REF!)</f>
        <v>#REF!</v>
      </c>
      <c r="T263" s="36">
        <v>2013</v>
      </c>
    </row>
    <row r="264" spans="1:20" ht="36" hidden="1" customHeight="1" x14ac:dyDescent="0.25">
      <c r="A264" s="36">
        <v>2005.4067795722899</v>
      </c>
      <c r="B264" s="124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29"/>
      <c r="T264" s="66"/>
    </row>
    <row r="265" spans="1:20" ht="36" hidden="1" customHeight="1" x14ac:dyDescent="0.25">
      <c r="A265" s="36">
        <v>2005.3175758448299</v>
      </c>
      <c r="B265" s="48"/>
      <c r="C265" s="125"/>
      <c r="D265" s="126"/>
      <c r="E265" s="48"/>
      <c r="F265" s="48"/>
      <c r="G265" s="126"/>
      <c r="H265" s="48"/>
      <c r="I265" s="48"/>
      <c r="J265" s="124"/>
      <c r="K265" s="48"/>
      <c r="L265" s="126"/>
      <c r="M265" s="48"/>
      <c r="N265" s="48"/>
      <c r="O265" s="48"/>
      <c r="P265" s="126"/>
      <c r="Q265" s="29"/>
      <c r="R265" s="48"/>
      <c r="S265" s="131"/>
      <c r="T265" s="19">
        <v>2010</v>
      </c>
    </row>
    <row r="266" spans="1:20" ht="36" hidden="1" customHeight="1" x14ac:dyDescent="0.25">
      <c r="A266" s="36">
        <v>2005.2283721173701</v>
      </c>
      <c r="B266" s="121">
        <v>3776</v>
      </c>
      <c r="C266" s="121">
        <v>7795</v>
      </c>
      <c r="D266" s="56">
        <f t="shared" si="71"/>
        <v>11571</v>
      </c>
      <c r="E266" s="121">
        <f>7129+2826</f>
        <v>9955</v>
      </c>
      <c r="F266" s="56">
        <v>875</v>
      </c>
      <c r="G266" s="56">
        <f t="shared" si="72"/>
        <v>10830</v>
      </c>
      <c r="H266" s="121">
        <f>14616+6743</f>
        <v>21359</v>
      </c>
      <c r="I266" s="121">
        <v>0</v>
      </c>
      <c r="J266" s="121">
        <f t="shared" si="73"/>
        <v>21359</v>
      </c>
      <c r="K266" s="121">
        <v>2399</v>
      </c>
      <c r="L266" s="56">
        <f t="shared" si="74"/>
        <v>46159</v>
      </c>
      <c r="M266" s="56">
        <f>440+3441-241</f>
        <v>3640</v>
      </c>
      <c r="N266" s="129">
        <v>-241</v>
      </c>
      <c r="O266" s="121">
        <v>4425</v>
      </c>
      <c r="P266" s="56">
        <f t="shared" si="75"/>
        <v>7824</v>
      </c>
      <c r="Q266" s="54">
        <f t="shared" si="76"/>
        <v>53983</v>
      </c>
      <c r="R266" s="121">
        <v>82664</v>
      </c>
      <c r="S266" s="130">
        <f t="shared" ref="S266:S277" si="89">Q266-R266</f>
        <v>-28681</v>
      </c>
      <c r="T266" s="120" t="s">
        <v>30</v>
      </c>
    </row>
    <row r="267" spans="1:20" ht="36" hidden="1" customHeight="1" x14ac:dyDescent="0.25">
      <c r="A267" s="36">
        <v>2005.1391683899201</v>
      </c>
      <c r="B267" s="121">
        <v>2807</v>
      </c>
      <c r="C267" s="121">
        <v>9302</v>
      </c>
      <c r="D267" s="56">
        <f t="shared" si="71"/>
        <v>12109</v>
      </c>
      <c r="E267" s="121">
        <f>6078+623+1810</f>
        <v>8511</v>
      </c>
      <c r="F267" s="56">
        <v>461</v>
      </c>
      <c r="G267" s="56">
        <f t="shared" si="72"/>
        <v>8972</v>
      </c>
      <c r="H267" s="121">
        <f>12363+7696</f>
        <v>20059</v>
      </c>
      <c r="I267" s="121">
        <v>0</v>
      </c>
      <c r="J267" s="121">
        <f t="shared" si="73"/>
        <v>20059</v>
      </c>
      <c r="K267" s="121">
        <v>2249</v>
      </c>
      <c r="L267" s="56">
        <f t="shared" si="74"/>
        <v>43389</v>
      </c>
      <c r="M267" s="56">
        <f>1007+2560-322</f>
        <v>3245</v>
      </c>
      <c r="N267" s="121">
        <v>322</v>
      </c>
      <c r="O267" s="121">
        <v>4500</v>
      </c>
      <c r="P267" s="56">
        <f t="shared" si="75"/>
        <v>8067</v>
      </c>
      <c r="Q267" s="54">
        <f t="shared" si="76"/>
        <v>51456</v>
      </c>
      <c r="R267" s="121">
        <v>138588</v>
      </c>
      <c r="S267" s="54">
        <f t="shared" si="89"/>
        <v>-87132</v>
      </c>
      <c r="T267" s="46" t="s">
        <v>31</v>
      </c>
    </row>
    <row r="268" spans="1:20" ht="36" hidden="1" customHeight="1" x14ac:dyDescent="0.25">
      <c r="A268" s="36">
        <v>2005.0499646624601</v>
      </c>
      <c r="B268" s="121">
        <v>9498</v>
      </c>
      <c r="C268" s="121">
        <v>12239</v>
      </c>
      <c r="D268" s="56">
        <f t="shared" si="71"/>
        <v>21737</v>
      </c>
      <c r="E268" s="121">
        <f>7078+367+7002</f>
        <v>14447</v>
      </c>
      <c r="F268" s="56">
        <v>1460</v>
      </c>
      <c r="G268" s="56">
        <f t="shared" si="72"/>
        <v>15907</v>
      </c>
      <c r="H268" s="121">
        <f>21956+10728</f>
        <v>32684</v>
      </c>
      <c r="I268" s="121">
        <v>0</v>
      </c>
      <c r="J268" s="121">
        <f t="shared" si="73"/>
        <v>32684</v>
      </c>
      <c r="K268" s="121">
        <v>1033</v>
      </c>
      <c r="L268" s="56">
        <f t="shared" si="74"/>
        <v>71361</v>
      </c>
      <c r="M268" s="56">
        <f>1212+4049-431</f>
        <v>4830</v>
      </c>
      <c r="N268" s="121">
        <v>431</v>
      </c>
      <c r="O268" s="121">
        <v>5363</v>
      </c>
      <c r="P268" s="56">
        <f t="shared" si="75"/>
        <v>10624</v>
      </c>
      <c r="Q268" s="54">
        <f t="shared" si="76"/>
        <v>81985</v>
      </c>
      <c r="R268" s="121">
        <v>205852</v>
      </c>
      <c r="S268" s="54">
        <f t="shared" si="89"/>
        <v>-123867</v>
      </c>
      <c r="T268" s="46" t="s">
        <v>3</v>
      </c>
    </row>
    <row r="269" spans="1:20" ht="33" hidden="1" customHeight="1" x14ac:dyDescent="0.25">
      <c r="A269" s="36">
        <v>2004.9607609350101</v>
      </c>
      <c r="B269" s="121">
        <v>5276</v>
      </c>
      <c r="C269" s="121">
        <v>12201</v>
      </c>
      <c r="D269" s="56">
        <f t="shared" si="71"/>
        <v>17477</v>
      </c>
      <c r="E269" s="121">
        <v>5627</v>
      </c>
      <c r="F269" s="56">
        <v>17</v>
      </c>
      <c r="G269" s="56">
        <f t="shared" ref="G269:G277" si="90">E269+F269</f>
        <v>5644</v>
      </c>
      <c r="H269" s="121">
        <f>24988+10708</f>
        <v>35696</v>
      </c>
      <c r="I269" s="121">
        <v>0</v>
      </c>
      <c r="J269" s="121">
        <f t="shared" si="73"/>
        <v>35696</v>
      </c>
      <c r="K269" s="121">
        <v>300</v>
      </c>
      <c r="L269" s="56">
        <f t="shared" ref="L269:L277" si="91">D269+G269+J269+K269</f>
        <v>59117</v>
      </c>
      <c r="M269" s="121">
        <f>1459+2288-876</f>
        <v>2871</v>
      </c>
      <c r="N269" s="121">
        <v>876</v>
      </c>
      <c r="O269" s="121">
        <v>4991</v>
      </c>
      <c r="P269" s="56">
        <f t="shared" si="75"/>
        <v>8738</v>
      </c>
      <c r="Q269" s="54">
        <f t="shared" si="76"/>
        <v>67855</v>
      </c>
      <c r="R269" s="121">
        <v>164715</v>
      </c>
      <c r="S269" s="54">
        <f t="shared" si="89"/>
        <v>-96860</v>
      </c>
      <c r="T269" s="46" t="s">
        <v>33</v>
      </c>
    </row>
    <row r="270" spans="1:20" ht="30.75" hidden="1" customHeight="1" x14ac:dyDescent="0.25">
      <c r="A270" s="36">
        <v>2004.87155720755</v>
      </c>
      <c r="B270" s="121">
        <v>4525</v>
      </c>
      <c r="C270" s="121">
        <v>11675</v>
      </c>
      <c r="D270" s="56">
        <f t="shared" si="71"/>
        <v>16200</v>
      </c>
      <c r="E270" s="121">
        <f>3768+1092+12275</f>
        <v>17135</v>
      </c>
      <c r="F270" s="56">
        <v>1313</v>
      </c>
      <c r="G270" s="56">
        <f t="shared" si="90"/>
        <v>18448</v>
      </c>
      <c r="H270" s="121">
        <f>12432+11055</f>
        <v>23487</v>
      </c>
      <c r="I270" s="121">
        <v>0</v>
      </c>
      <c r="J270" s="121">
        <f t="shared" si="73"/>
        <v>23487</v>
      </c>
      <c r="K270" s="121">
        <v>837</v>
      </c>
      <c r="L270" s="56">
        <f t="shared" si="91"/>
        <v>58972</v>
      </c>
      <c r="M270" s="121">
        <f>1119+7735-2464</f>
        <v>6390</v>
      </c>
      <c r="N270" s="121">
        <v>2464</v>
      </c>
      <c r="O270" s="121">
        <v>3193</v>
      </c>
      <c r="P270" s="56">
        <f t="shared" si="75"/>
        <v>12047</v>
      </c>
      <c r="Q270" s="54">
        <f t="shared" si="76"/>
        <v>71019</v>
      </c>
      <c r="R270" s="121">
        <v>181156</v>
      </c>
      <c r="S270" s="54">
        <f t="shared" si="89"/>
        <v>-110137</v>
      </c>
      <c r="T270" s="46" t="s">
        <v>34</v>
      </c>
    </row>
    <row r="271" spans="1:20" ht="30" hidden="1" customHeight="1" x14ac:dyDescent="0.25">
      <c r="A271" s="36">
        <v>2004.78235348009</v>
      </c>
      <c r="B271" s="121">
        <v>8903</v>
      </c>
      <c r="C271" s="121">
        <v>15534</v>
      </c>
      <c r="D271" s="56">
        <f t="shared" si="71"/>
        <v>24437</v>
      </c>
      <c r="E271" s="121">
        <f>756+7347+14671</f>
        <v>22774</v>
      </c>
      <c r="F271" s="56">
        <v>169</v>
      </c>
      <c r="G271" s="56">
        <f t="shared" si="90"/>
        <v>22943</v>
      </c>
      <c r="H271" s="121">
        <f>23040+11205</f>
        <v>34245</v>
      </c>
      <c r="I271" s="121">
        <v>0</v>
      </c>
      <c r="J271" s="121">
        <f t="shared" si="73"/>
        <v>34245</v>
      </c>
      <c r="K271" s="121">
        <v>1217</v>
      </c>
      <c r="L271" s="56">
        <f t="shared" si="91"/>
        <v>82842</v>
      </c>
      <c r="M271" s="121">
        <f>2218+5466-240</f>
        <v>7444</v>
      </c>
      <c r="N271" s="121">
        <v>240</v>
      </c>
      <c r="O271" s="121">
        <v>4114</v>
      </c>
      <c r="P271" s="56">
        <f t="shared" si="75"/>
        <v>11798</v>
      </c>
      <c r="Q271" s="54">
        <f t="shared" si="76"/>
        <v>94640</v>
      </c>
      <c r="R271" s="121">
        <v>195761</v>
      </c>
      <c r="S271" s="54">
        <f t="shared" si="89"/>
        <v>-101121</v>
      </c>
      <c r="T271" s="46" t="s">
        <v>0</v>
      </c>
    </row>
    <row r="272" spans="1:20" ht="30.75" hidden="1" customHeight="1" x14ac:dyDescent="0.25">
      <c r="A272" s="36">
        <v>2004.69314975264</v>
      </c>
      <c r="B272" s="121">
        <v>5124</v>
      </c>
      <c r="C272" s="121">
        <v>13031</v>
      </c>
      <c r="D272" s="56">
        <f t="shared" si="71"/>
        <v>18155</v>
      </c>
      <c r="E272" s="121">
        <f>684+7583+7388</f>
        <v>15655</v>
      </c>
      <c r="F272" s="56">
        <v>281</v>
      </c>
      <c r="G272" s="56">
        <f t="shared" si="90"/>
        <v>15936</v>
      </c>
      <c r="H272" s="121">
        <f>12479+11319</f>
        <v>23798</v>
      </c>
      <c r="I272" s="121">
        <v>0</v>
      </c>
      <c r="J272" s="121">
        <f t="shared" si="73"/>
        <v>23798</v>
      </c>
      <c r="K272" s="121">
        <v>999</v>
      </c>
      <c r="L272" s="56">
        <f t="shared" si="91"/>
        <v>58888</v>
      </c>
      <c r="M272" s="121">
        <f>2227+4676-1275</f>
        <v>5628</v>
      </c>
      <c r="N272" s="121">
        <v>1275</v>
      </c>
      <c r="O272" s="121">
        <v>4770</v>
      </c>
      <c r="P272" s="56">
        <f t="shared" si="75"/>
        <v>11673</v>
      </c>
      <c r="Q272" s="54">
        <f t="shared" si="76"/>
        <v>70561</v>
      </c>
      <c r="R272" s="121">
        <v>159745</v>
      </c>
      <c r="S272" s="54">
        <f t="shared" si="89"/>
        <v>-89184</v>
      </c>
      <c r="T272" s="120" t="s">
        <v>1</v>
      </c>
    </row>
    <row r="273" spans="1:20" ht="30.75" hidden="1" customHeight="1" x14ac:dyDescent="0.25">
      <c r="A273" s="36">
        <v>2004.60394602518</v>
      </c>
      <c r="B273" s="121">
        <v>7240</v>
      </c>
      <c r="C273" s="121">
        <v>12924</v>
      </c>
      <c r="D273" s="56">
        <f t="shared" si="71"/>
        <v>20164</v>
      </c>
      <c r="E273" s="121">
        <f>11056+9893</f>
        <v>20949</v>
      </c>
      <c r="F273" s="56">
        <v>1465</v>
      </c>
      <c r="G273" s="56">
        <f t="shared" si="90"/>
        <v>22414</v>
      </c>
      <c r="H273" s="121">
        <f>17885+13329</f>
        <v>31214</v>
      </c>
      <c r="I273" s="121">
        <v>0</v>
      </c>
      <c r="J273" s="121">
        <f t="shared" si="73"/>
        <v>31214</v>
      </c>
      <c r="K273" s="121">
        <v>399</v>
      </c>
      <c r="L273" s="56">
        <f t="shared" si="91"/>
        <v>74191</v>
      </c>
      <c r="M273" s="121">
        <f>4607+4186-1928</f>
        <v>6865</v>
      </c>
      <c r="N273" s="121">
        <v>1928</v>
      </c>
      <c r="O273" s="121">
        <v>3703</v>
      </c>
      <c r="P273" s="56">
        <f t="shared" si="75"/>
        <v>12496</v>
      </c>
      <c r="Q273" s="54">
        <f t="shared" si="76"/>
        <v>86687</v>
      </c>
      <c r="R273" s="121">
        <v>212656</v>
      </c>
      <c r="S273" s="54">
        <f t="shared" si="89"/>
        <v>-125969</v>
      </c>
      <c r="T273" s="120" t="s">
        <v>2</v>
      </c>
    </row>
    <row r="274" spans="1:20" ht="30.75" hidden="1" customHeight="1" x14ac:dyDescent="0.25">
      <c r="A274" s="36">
        <v>2004.51474229773</v>
      </c>
      <c r="B274" s="121">
        <v>37833</v>
      </c>
      <c r="C274" s="121">
        <v>15024</v>
      </c>
      <c r="D274" s="56">
        <f t="shared" si="71"/>
        <v>52857</v>
      </c>
      <c r="E274" s="121">
        <v>8407</v>
      </c>
      <c r="F274" s="56">
        <v>641</v>
      </c>
      <c r="G274" s="56">
        <f t="shared" si="90"/>
        <v>9048</v>
      </c>
      <c r="H274" s="121">
        <f>29002+12602</f>
        <v>41604</v>
      </c>
      <c r="I274" s="121">
        <v>0</v>
      </c>
      <c r="J274" s="121">
        <f t="shared" si="73"/>
        <v>41604</v>
      </c>
      <c r="K274" s="121">
        <v>355</v>
      </c>
      <c r="L274" s="56">
        <f t="shared" si="91"/>
        <v>103864</v>
      </c>
      <c r="M274" s="121">
        <f>3035+1797-617</f>
        <v>4215</v>
      </c>
      <c r="N274" s="121">
        <v>617</v>
      </c>
      <c r="O274" s="121">
        <v>3870</v>
      </c>
      <c r="P274" s="56">
        <f t="shared" si="75"/>
        <v>8702</v>
      </c>
      <c r="Q274" s="54">
        <f t="shared" si="76"/>
        <v>112566</v>
      </c>
      <c r="R274" s="121">
        <v>113333</v>
      </c>
      <c r="S274" s="54">
        <f t="shared" si="89"/>
        <v>-767</v>
      </c>
      <c r="T274" s="120" t="s">
        <v>36</v>
      </c>
    </row>
    <row r="275" spans="1:20" ht="30" hidden="1" customHeight="1" x14ac:dyDescent="0.25">
      <c r="A275" s="36">
        <v>2004.42553857027</v>
      </c>
      <c r="B275" s="56">
        <v>4972</v>
      </c>
      <c r="C275" s="120">
        <v>16452</v>
      </c>
      <c r="D275" s="56">
        <f t="shared" si="71"/>
        <v>21424</v>
      </c>
      <c r="E275" s="56">
        <v>11597</v>
      </c>
      <c r="F275" s="56">
        <v>0</v>
      </c>
      <c r="G275" s="56">
        <f t="shared" si="90"/>
        <v>11597</v>
      </c>
      <c r="H275" s="56">
        <f>21369+12090</f>
        <v>33459</v>
      </c>
      <c r="I275" s="56">
        <v>0</v>
      </c>
      <c r="J275" s="121">
        <f t="shared" si="73"/>
        <v>33459</v>
      </c>
      <c r="K275" s="56">
        <v>358</v>
      </c>
      <c r="L275" s="56">
        <f t="shared" si="91"/>
        <v>66838</v>
      </c>
      <c r="M275" s="56">
        <f>1912+7393-3270</f>
        <v>6035</v>
      </c>
      <c r="N275" s="56">
        <v>3270</v>
      </c>
      <c r="O275" s="56">
        <v>3720</v>
      </c>
      <c r="P275" s="56">
        <f>M275+N275+O275</f>
        <v>13025</v>
      </c>
      <c r="Q275" s="54">
        <f>L275+P275</f>
        <v>79863</v>
      </c>
      <c r="R275" s="56">
        <v>195566</v>
      </c>
      <c r="S275" s="54">
        <f t="shared" si="89"/>
        <v>-115703</v>
      </c>
      <c r="T275" s="120" t="s">
        <v>38</v>
      </c>
    </row>
    <row r="276" spans="1:20" ht="30" hidden="1" customHeight="1" x14ac:dyDescent="0.25">
      <c r="A276" s="36">
        <v>2004.3363348428099</v>
      </c>
      <c r="B276" s="56">
        <v>6817</v>
      </c>
      <c r="C276" s="127">
        <v>12229</v>
      </c>
      <c r="D276" s="56">
        <f t="shared" si="71"/>
        <v>19046</v>
      </c>
      <c r="E276" s="56">
        <v>9585</v>
      </c>
      <c r="F276" s="56">
        <v>0</v>
      </c>
      <c r="G276" s="56">
        <f t="shared" si="90"/>
        <v>9585</v>
      </c>
      <c r="H276" s="56">
        <f>27875+15612</f>
        <v>43487</v>
      </c>
      <c r="I276" s="56">
        <v>0</v>
      </c>
      <c r="J276" s="121">
        <f t="shared" si="73"/>
        <v>43487</v>
      </c>
      <c r="K276" s="56">
        <v>467</v>
      </c>
      <c r="L276" s="56">
        <f t="shared" si="91"/>
        <v>72585</v>
      </c>
      <c r="M276" s="56">
        <f>1770+3336-70</f>
        <v>5036</v>
      </c>
      <c r="N276" s="56">
        <v>70</v>
      </c>
      <c r="O276" s="56">
        <v>3837</v>
      </c>
      <c r="P276" s="56">
        <f>M276+N276+O276</f>
        <v>8943</v>
      </c>
      <c r="Q276" s="54">
        <f>L276+P276</f>
        <v>81528</v>
      </c>
      <c r="R276" s="56">
        <v>303182</v>
      </c>
      <c r="S276" s="54">
        <f t="shared" si="89"/>
        <v>-221654</v>
      </c>
      <c r="T276" s="127" t="s">
        <v>39</v>
      </c>
    </row>
    <row r="277" spans="1:20" ht="30" hidden="1" customHeight="1" x14ac:dyDescent="0.25">
      <c r="A277" s="36">
        <v>2004.2471311153599</v>
      </c>
      <c r="B277" s="56">
        <v>39742</v>
      </c>
      <c r="C277" s="120">
        <v>16851</v>
      </c>
      <c r="D277" s="56">
        <f t="shared" si="71"/>
        <v>56593</v>
      </c>
      <c r="E277" s="56">
        <f>18575+13290</f>
        <v>31865</v>
      </c>
      <c r="F277" s="56">
        <v>633</v>
      </c>
      <c r="G277" s="56">
        <f t="shared" si="90"/>
        <v>32498</v>
      </c>
      <c r="H277" s="56">
        <f>28141+13621</f>
        <v>41762</v>
      </c>
      <c r="I277" s="56">
        <v>0</v>
      </c>
      <c r="J277" s="121">
        <f t="shared" si="73"/>
        <v>41762</v>
      </c>
      <c r="K277" s="56">
        <v>665</v>
      </c>
      <c r="L277" s="56">
        <f t="shared" si="91"/>
        <v>131518</v>
      </c>
      <c r="M277" s="56">
        <f>3183+5305-3183</f>
        <v>5305</v>
      </c>
      <c r="N277" s="56">
        <v>3183</v>
      </c>
      <c r="O277" s="56">
        <v>1716</v>
      </c>
      <c r="P277" s="56">
        <f>M277+N277+O277</f>
        <v>10204</v>
      </c>
      <c r="Q277" s="54">
        <f>L277+P277</f>
        <v>141722</v>
      </c>
      <c r="R277" s="56">
        <v>144019</v>
      </c>
      <c r="S277" s="54">
        <f t="shared" si="89"/>
        <v>-2297</v>
      </c>
      <c r="T277" s="120" t="s">
        <v>40</v>
      </c>
    </row>
    <row r="278" spans="1:20" ht="30" hidden="1" customHeight="1" x14ac:dyDescent="0.25">
      <c r="A278" s="36">
        <v>2004.1579273878999</v>
      </c>
      <c r="B278" s="126"/>
      <c r="C278" s="143"/>
      <c r="D278" s="126"/>
      <c r="E278" s="126"/>
      <c r="F278" s="126"/>
      <c r="G278" s="126"/>
      <c r="H278" s="126"/>
      <c r="I278" s="126"/>
      <c r="J278" s="124"/>
      <c r="K278" s="126"/>
      <c r="L278" s="126"/>
      <c r="M278" s="126"/>
      <c r="N278" s="126"/>
      <c r="O278" s="126"/>
      <c r="P278" s="126"/>
      <c r="Q278" s="29"/>
      <c r="R278" s="126"/>
      <c r="S278" s="29"/>
      <c r="T278" s="143"/>
    </row>
    <row r="279" spans="1:20" ht="30" hidden="1" customHeight="1" x14ac:dyDescent="0.25">
      <c r="A279" s="36">
        <v>2004.0687236604499</v>
      </c>
      <c r="B279" s="126"/>
      <c r="C279" s="143"/>
      <c r="D279" s="126"/>
      <c r="E279" s="126"/>
      <c r="F279" s="126"/>
      <c r="G279" s="126"/>
      <c r="H279" s="126"/>
      <c r="I279" s="126"/>
      <c r="J279" s="124"/>
      <c r="K279" s="126"/>
      <c r="L279" s="126"/>
      <c r="M279" s="126"/>
      <c r="N279" s="126"/>
      <c r="O279" s="126"/>
      <c r="P279" s="126"/>
      <c r="Q279" s="29"/>
      <c r="R279" s="126"/>
      <c r="S279" s="29"/>
      <c r="T279" s="36">
        <v>2010</v>
      </c>
    </row>
    <row r="280" spans="1:20" ht="30" hidden="1" customHeight="1" x14ac:dyDescent="0.25">
      <c r="A280" s="36">
        <v>2003.9795199329899</v>
      </c>
      <c r="B280" s="21">
        <f>B266+B267+B268</f>
        <v>16081</v>
      </c>
      <c r="C280" s="111">
        <f t="shared" ref="C280:S280" si="92">C266+C267+C268</f>
        <v>29336</v>
      </c>
      <c r="D280" s="22">
        <f t="shared" si="92"/>
        <v>45417</v>
      </c>
      <c r="E280" s="21">
        <f t="shared" si="92"/>
        <v>32913</v>
      </c>
      <c r="F280" s="21">
        <f t="shared" si="92"/>
        <v>2796</v>
      </c>
      <c r="G280" s="22">
        <f t="shared" si="92"/>
        <v>35709</v>
      </c>
      <c r="H280" s="21">
        <f t="shared" si="92"/>
        <v>74102</v>
      </c>
      <c r="I280" s="21">
        <f t="shared" si="92"/>
        <v>0</v>
      </c>
      <c r="J280" s="22">
        <f t="shared" si="92"/>
        <v>74102</v>
      </c>
      <c r="K280" s="21">
        <f t="shared" si="92"/>
        <v>5681</v>
      </c>
      <c r="L280" s="22">
        <f t="shared" si="92"/>
        <v>160909</v>
      </c>
      <c r="M280" s="21">
        <f t="shared" si="92"/>
        <v>11715</v>
      </c>
      <c r="N280" s="25">
        <f t="shared" si="92"/>
        <v>512</v>
      </c>
      <c r="O280" s="21">
        <f t="shared" si="92"/>
        <v>14288</v>
      </c>
      <c r="P280" s="24">
        <f t="shared" si="92"/>
        <v>26515</v>
      </c>
      <c r="Q280" s="21">
        <f t="shared" si="92"/>
        <v>187424</v>
      </c>
      <c r="R280" s="21">
        <f t="shared" si="92"/>
        <v>427104</v>
      </c>
      <c r="S280" s="22">
        <f t="shared" si="92"/>
        <v>-239680</v>
      </c>
      <c r="T280" s="36" t="s">
        <v>32</v>
      </c>
    </row>
    <row r="281" spans="1:20" ht="30" hidden="1" customHeight="1" x14ac:dyDescent="0.25">
      <c r="A281" s="36">
        <v>2003.8903162055401</v>
      </c>
      <c r="B281" s="21">
        <f>B269+B270+B271</f>
        <v>18704</v>
      </c>
      <c r="C281" s="111">
        <f t="shared" ref="C281:S281" si="93">C269+C270+C271</f>
        <v>39410</v>
      </c>
      <c r="D281" s="22">
        <f t="shared" si="93"/>
        <v>58114</v>
      </c>
      <c r="E281" s="21">
        <f t="shared" si="93"/>
        <v>45536</v>
      </c>
      <c r="F281" s="21">
        <f t="shared" si="93"/>
        <v>1499</v>
      </c>
      <c r="G281" s="22">
        <f t="shared" si="93"/>
        <v>47035</v>
      </c>
      <c r="H281" s="21">
        <f t="shared" si="93"/>
        <v>93428</v>
      </c>
      <c r="I281" s="21">
        <f t="shared" si="93"/>
        <v>0</v>
      </c>
      <c r="J281" s="22">
        <f t="shared" si="93"/>
        <v>93428</v>
      </c>
      <c r="K281" s="21">
        <f t="shared" si="93"/>
        <v>2354</v>
      </c>
      <c r="L281" s="22">
        <f t="shared" si="93"/>
        <v>200931</v>
      </c>
      <c r="M281" s="21">
        <f t="shared" si="93"/>
        <v>16705</v>
      </c>
      <c r="N281" s="25">
        <f t="shared" si="93"/>
        <v>3580</v>
      </c>
      <c r="O281" s="21">
        <f t="shared" si="93"/>
        <v>12298</v>
      </c>
      <c r="P281" s="24">
        <f t="shared" si="93"/>
        <v>32583</v>
      </c>
      <c r="Q281" s="21">
        <f t="shared" si="93"/>
        <v>233514</v>
      </c>
      <c r="R281" s="21">
        <f t="shared" si="93"/>
        <v>541632</v>
      </c>
      <c r="S281" s="22">
        <f t="shared" si="93"/>
        <v>-308118</v>
      </c>
      <c r="T281" s="36" t="s">
        <v>35</v>
      </c>
    </row>
    <row r="282" spans="1:20" ht="30" hidden="1" customHeight="1" x14ac:dyDescent="0.25">
      <c r="A282" s="36">
        <v>2003.8011124780801</v>
      </c>
      <c r="B282" s="21">
        <f>B272+B273+B274</f>
        <v>50197</v>
      </c>
      <c r="C282" s="111">
        <f t="shared" ref="C282:S282" si="94">C272+C273+C274</f>
        <v>40979</v>
      </c>
      <c r="D282" s="22">
        <f t="shared" si="94"/>
        <v>91176</v>
      </c>
      <c r="E282" s="21">
        <f t="shared" si="94"/>
        <v>45011</v>
      </c>
      <c r="F282" s="21">
        <f t="shared" si="94"/>
        <v>2387</v>
      </c>
      <c r="G282" s="22">
        <f t="shared" si="94"/>
        <v>47398</v>
      </c>
      <c r="H282" s="21">
        <f t="shared" si="94"/>
        <v>96616</v>
      </c>
      <c r="I282" s="21">
        <f t="shared" si="94"/>
        <v>0</v>
      </c>
      <c r="J282" s="22">
        <f t="shared" si="94"/>
        <v>96616</v>
      </c>
      <c r="K282" s="21">
        <f t="shared" si="94"/>
        <v>1753</v>
      </c>
      <c r="L282" s="22">
        <f t="shared" si="94"/>
        <v>236943</v>
      </c>
      <c r="M282" s="21">
        <f t="shared" si="94"/>
        <v>16708</v>
      </c>
      <c r="N282" s="25">
        <f t="shared" si="94"/>
        <v>3820</v>
      </c>
      <c r="O282" s="21">
        <f t="shared" si="94"/>
        <v>12343</v>
      </c>
      <c r="P282" s="24">
        <f t="shared" si="94"/>
        <v>32871</v>
      </c>
      <c r="Q282" s="21">
        <f t="shared" si="94"/>
        <v>269814</v>
      </c>
      <c r="R282" s="21">
        <f t="shared" si="94"/>
        <v>485734</v>
      </c>
      <c r="S282" s="22">
        <f t="shared" si="94"/>
        <v>-215920</v>
      </c>
      <c r="T282" s="36" t="s">
        <v>37</v>
      </c>
    </row>
    <row r="283" spans="1:20" ht="30" hidden="1" customHeight="1" x14ac:dyDescent="0.25">
      <c r="A283" s="36">
        <v>2003.7119087506201</v>
      </c>
      <c r="B283" s="21">
        <f>B275+B276+B277</f>
        <v>51531</v>
      </c>
      <c r="C283" s="111">
        <f t="shared" ref="C283:S283" si="95">C275+C276+C277</f>
        <v>45532</v>
      </c>
      <c r="D283" s="22">
        <f t="shared" si="95"/>
        <v>97063</v>
      </c>
      <c r="E283" s="21">
        <f t="shared" si="95"/>
        <v>53047</v>
      </c>
      <c r="F283" s="21">
        <f t="shared" si="95"/>
        <v>633</v>
      </c>
      <c r="G283" s="22">
        <f t="shared" si="95"/>
        <v>53680</v>
      </c>
      <c r="H283" s="21">
        <f t="shared" si="95"/>
        <v>118708</v>
      </c>
      <c r="I283" s="21">
        <f t="shared" si="95"/>
        <v>0</v>
      </c>
      <c r="J283" s="22">
        <f t="shared" si="95"/>
        <v>118708</v>
      </c>
      <c r="K283" s="21">
        <f t="shared" si="95"/>
        <v>1490</v>
      </c>
      <c r="L283" s="22">
        <f t="shared" si="95"/>
        <v>270941</v>
      </c>
      <c r="M283" s="21">
        <f t="shared" si="95"/>
        <v>16376</v>
      </c>
      <c r="N283" s="25">
        <f t="shared" si="95"/>
        <v>6523</v>
      </c>
      <c r="O283" s="21">
        <f t="shared" si="95"/>
        <v>9273</v>
      </c>
      <c r="P283" s="24">
        <f t="shared" si="95"/>
        <v>32172</v>
      </c>
      <c r="Q283" s="21">
        <f t="shared" si="95"/>
        <v>303113</v>
      </c>
      <c r="R283" s="21">
        <f t="shared" si="95"/>
        <v>642767</v>
      </c>
      <c r="S283" s="22">
        <f t="shared" si="95"/>
        <v>-339654</v>
      </c>
      <c r="T283" s="36" t="s">
        <v>41</v>
      </c>
    </row>
    <row r="284" spans="1:20" ht="30" customHeight="1" x14ac:dyDescent="0.25">
      <c r="A284" s="36">
        <v>2014</v>
      </c>
      <c r="B284" s="21">
        <f>SUM(B322:B325)</f>
        <v>275726</v>
      </c>
      <c r="C284" s="21">
        <f t="shared" ref="C284:S284" si="96">SUM(C322:C325)</f>
        <v>614573</v>
      </c>
      <c r="D284" s="21">
        <f t="shared" si="96"/>
        <v>890299</v>
      </c>
      <c r="E284" s="21">
        <f t="shared" si="96"/>
        <v>406022</v>
      </c>
      <c r="F284" s="21">
        <f t="shared" si="96"/>
        <v>0</v>
      </c>
      <c r="G284" s="21">
        <f t="shared" si="96"/>
        <v>406022</v>
      </c>
      <c r="H284" s="21">
        <f t="shared" si="96"/>
        <v>556911</v>
      </c>
      <c r="I284" s="21">
        <f t="shared" si="96"/>
        <v>0</v>
      </c>
      <c r="J284" s="21">
        <f t="shared" si="96"/>
        <v>556911</v>
      </c>
      <c r="K284" s="21">
        <f t="shared" si="96"/>
        <v>20523</v>
      </c>
      <c r="L284" s="21">
        <f t="shared" si="96"/>
        <v>1873755</v>
      </c>
      <c r="M284" s="21">
        <f t="shared" si="96"/>
        <v>291415</v>
      </c>
      <c r="N284" s="21">
        <f t="shared" si="96"/>
        <v>0</v>
      </c>
      <c r="O284" s="21">
        <f t="shared" si="96"/>
        <v>89279</v>
      </c>
      <c r="P284" s="21">
        <f t="shared" si="96"/>
        <v>380694</v>
      </c>
      <c r="Q284" s="21">
        <f t="shared" si="96"/>
        <v>2254449</v>
      </c>
      <c r="R284" s="21">
        <f t="shared" si="96"/>
        <v>3951073</v>
      </c>
      <c r="S284" s="21">
        <f t="shared" si="96"/>
        <v>-1696624</v>
      </c>
      <c r="T284" s="36">
        <v>2014</v>
      </c>
    </row>
    <row r="285" spans="1:20" ht="30" customHeight="1" x14ac:dyDescent="0.25">
      <c r="A285" s="36">
        <v>2015</v>
      </c>
      <c r="B285" s="21">
        <f>SUM(B328:B331)</f>
        <v>245520</v>
      </c>
      <c r="C285" s="21">
        <f t="shared" ref="C285:S285" si="97">SUM(C328:C331)</f>
        <v>656336</v>
      </c>
      <c r="D285" s="21">
        <f t="shared" si="97"/>
        <v>901856</v>
      </c>
      <c r="E285" s="21">
        <f t="shared" si="97"/>
        <v>431495</v>
      </c>
      <c r="F285" s="21">
        <f t="shared" si="97"/>
        <v>0</v>
      </c>
      <c r="G285" s="21">
        <f t="shared" si="97"/>
        <v>431495</v>
      </c>
      <c r="H285" s="21">
        <f t="shared" si="97"/>
        <v>683577</v>
      </c>
      <c r="I285" s="21">
        <f t="shared" si="97"/>
        <v>0</v>
      </c>
      <c r="J285" s="21">
        <f t="shared" si="97"/>
        <v>683577</v>
      </c>
      <c r="K285" s="21">
        <f t="shared" si="97"/>
        <v>29716</v>
      </c>
      <c r="L285" s="21">
        <f t="shared" si="97"/>
        <v>2046644</v>
      </c>
      <c r="M285" s="21">
        <f t="shared" si="97"/>
        <v>181006</v>
      </c>
      <c r="N285" s="21">
        <f t="shared" si="97"/>
        <v>0</v>
      </c>
      <c r="O285" s="21">
        <f t="shared" si="97"/>
        <v>94709</v>
      </c>
      <c r="P285" s="21">
        <f t="shared" si="97"/>
        <v>275715</v>
      </c>
      <c r="Q285" s="21">
        <f t="shared" si="97"/>
        <v>2322359</v>
      </c>
      <c r="R285" s="21">
        <f t="shared" si="97"/>
        <v>4414742</v>
      </c>
      <c r="S285" s="21">
        <f t="shared" si="97"/>
        <v>-2092383</v>
      </c>
      <c r="T285" s="36">
        <v>2015</v>
      </c>
    </row>
    <row r="286" spans="1:20" ht="30" customHeight="1" x14ac:dyDescent="0.25">
      <c r="A286" s="36">
        <v>2016</v>
      </c>
      <c r="B286" s="21">
        <f>SUM(B370:B381)</f>
        <v>324228</v>
      </c>
      <c r="C286" s="21">
        <f t="shared" ref="C286:S286" si="98">SUM(C370:C381)</f>
        <v>757347</v>
      </c>
      <c r="D286" s="21">
        <f t="shared" si="98"/>
        <v>1081575</v>
      </c>
      <c r="E286" s="21">
        <f t="shared" si="98"/>
        <v>457806</v>
      </c>
      <c r="F286" s="21">
        <f t="shared" si="98"/>
        <v>4768</v>
      </c>
      <c r="G286" s="21">
        <f t="shared" si="98"/>
        <v>462574</v>
      </c>
      <c r="H286" s="21">
        <f t="shared" si="98"/>
        <v>746478</v>
      </c>
      <c r="I286" s="21">
        <f t="shared" si="98"/>
        <v>0</v>
      </c>
      <c r="J286" s="21">
        <f t="shared" si="98"/>
        <v>746478</v>
      </c>
      <c r="K286" s="21">
        <f t="shared" si="98"/>
        <v>209397</v>
      </c>
      <c r="L286" s="21">
        <f t="shared" si="98"/>
        <v>2500024</v>
      </c>
      <c r="M286" s="21">
        <f t="shared" si="98"/>
        <v>291088</v>
      </c>
      <c r="N286" s="21">
        <f t="shared" si="98"/>
        <v>0</v>
      </c>
      <c r="O286" s="21">
        <f t="shared" si="98"/>
        <v>89029</v>
      </c>
      <c r="P286" s="21">
        <f t="shared" si="98"/>
        <v>380117</v>
      </c>
      <c r="Q286" s="21">
        <f t="shared" si="98"/>
        <v>2880141</v>
      </c>
      <c r="R286" s="21">
        <f t="shared" si="98"/>
        <v>5440652</v>
      </c>
      <c r="S286" s="21">
        <f t="shared" si="98"/>
        <v>-2560511</v>
      </c>
      <c r="T286" s="36">
        <v>2016</v>
      </c>
    </row>
    <row r="287" spans="1:20" ht="30" customHeight="1" x14ac:dyDescent="0.25">
      <c r="A287" s="36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</row>
    <row r="288" spans="1:20" ht="30" hidden="1" customHeight="1" x14ac:dyDescent="0.2">
      <c r="A288" s="19">
        <v>2011</v>
      </c>
      <c r="B288" s="48"/>
      <c r="C288" s="125"/>
      <c r="D288" s="126"/>
      <c r="E288" s="48"/>
      <c r="F288" s="48"/>
      <c r="G288" s="126"/>
      <c r="H288" s="48"/>
      <c r="I288" s="48"/>
      <c r="J288" s="124"/>
      <c r="K288" s="48"/>
      <c r="L288" s="126"/>
      <c r="M288" s="48"/>
      <c r="N288" s="48"/>
      <c r="O288" s="48"/>
      <c r="P288" s="126"/>
      <c r="Q288" s="29"/>
      <c r="R288" s="132"/>
      <c r="S288" s="29"/>
      <c r="T288" s="19">
        <v>2011</v>
      </c>
    </row>
    <row r="289" spans="1:20" ht="28.5" hidden="1" customHeight="1" x14ac:dyDescent="0.2">
      <c r="A289" s="120" t="s">
        <v>30</v>
      </c>
      <c r="B289" s="121">
        <v>6629</v>
      </c>
      <c r="C289" s="121">
        <v>14717</v>
      </c>
      <c r="D289" s="56">
        <f t="shared" ref="D289:D300" si="99">B289+C289</f>
        <v>21346</v>
      </c>
      <c r="E289" s="121">
        <f>14932+10320</f>
        <v>25252</v>
      </c>
      <c r="F289" s="56">
        <v>206</v>
      </c>
      <c r="G289" s="56">
        <f t="shared" ref="G289:G300" si="100">E289+F289</f>
        <v>25458</v>
      </c>
      <c r="H289" s="121">
        <f>17370+11896</f>
        <v>29266</v>
      </c>
      <c r="I289" s="121">
        <v>0</v>
      </c>
      <c r="J289" s="121">
        <f t="shared" ref="J289:J300" si="101">H289+I289</f>
        <v>29266</v>
      </c>
      <c r="K289" s="121">
        <v>422</v>
      </c>
      <c r="L289" s="56">
        <f t="shared" ref="L289:L300" si="102">D289+G289+J289+K289</f>
        <v>76492</v>
      </c>
      <c r="M289" s="56">
        <f>1146+2181</f>
        <v>3327</v>
      </c>
      <c r="N289" s="129">
        <v>0</v>
      </c>
      <c r="O289" s="129">
        <v>3160</v>
      </c>
      <c r="P289" s="56">
        <f t="shared" ref="P289:P300" si="103">M289+N289+O289</f>
        <v>6487</v>
      </c>
      <c r="Q289" s="54">
        <f t="shared" ref="Q289:Q300" si="104">L289+P289</f>
        <v>82979</v>
      </c>
      <c r="R289" s="121">
        <v>151197</v>
      </c>
      <c r="S289" s="54">
        <f t="shared" ref="S289:S300" si="105">Q289-R289</f>
        <v>-68218</v>
      </c>
      <c r="T289" s="120" t="s">
        <v>30</v>
      </c>
    </row>
    <row r="290" spans="1:20" ht="30" hidden="1" customHeight="1" x14ac:dyDescent="0.2">
      <c r="A290" s="46" t="s">
        <v>31</v>
      </c>
      <c r="B290" s="121">
        <v>7173</v>
      </c>
      <c r="C290" s="121">
        <v>70529</v>
      </c>
      <c r="D290" s="56">
        <f t="shared" si="99"/>
        <v>77702</v>
      </c>
      <c r="E290" s="121">
        <f>12037+13172</f>
        <v>25209</v>
      </c>
      <c r="F290" s="56">
        <v>741</v>
      </c>
      <c r="G290" s="56">
        <f t="shared" si="100"/>
        <v>25950</v>
      </c>
      <c r="H290" s="121">
        <f>11253+16042</f>
        <v>27295</v>
      </c>
      <c r="I290" s="121">
        <v>0</v>
      </c>
      <c r="J290" s="121">
        <f t="shared" si="101"/>
        <v>27295</v>
      </c>
      <c r="K290" s="121">
        <v>263</v>
      </c>
      <c r="L290" s="56">
        <f t="shared" si="102"/>
        <v>131210</v>
      </c>
      <c r="M290" s="56">
        <f>2587+5776</f>
        <v>8363</v>
      </c>
      <c r="N290" s="121">
        <v>0</v>
      </c>
      <c r="O290" s="121">
        <v>3631</v>
      </c>
      <c r="P290" s="56">
        <f t="shared" si="103"/>
        <v>11994</v>
      </c>
      <c r="Q290" s="54">
        <f t="shared" si="104"/>
        <v>143204</v>
      </c>
      <c r="R290" s="121">
        <v>272782</v>
      </c>
      <c r="S290" s="54">
        <f t="shared" si="105"/>
        <v>-129578</v>
      </c>
      <c r="T290" s="46" t="s">
        <v>31</v>
      </c>
    </row>
    <row r="291" spans="1:20" ht="30" hidden="1" customHeight="1" x14ac:dyDescent="0.2">
      <c r="A291" s="46" t="s">
        <v>3</v>
      </c>
      <c r="B291" s="121">
        <v>13087</v>
      </c>
      <c r="C291" s="121">
        <v>22967</v>
      </c>
      <c r="D291" s="56">
        <f t="shared" si="99"/>
        <v>36054</v>
      </c>
      <c r="E291" s="121">
        <f>16162+15708</f>
        <v>31870</v>
      </c>
      <c r="F291" s="56">
        <v>485</v>
      </c>
      <c r="G291" s="56">
        <f t="shared" si="100"/>
        <v>32355</v>
      </c>
      <c r="H291" s="121">
        <f>21479+18488</f>
        <v>39967</v>
      </c>
      <c r="I291" s="121">
        <v>0</v>
      </c>
      <c r="J291" s="121">
        <f t="shared" si="101"/>
        <v>39967</v>
      </c>
      <c r="K291" s="121">
        <v>508</v>
      </c>
      <c r="L291" s="56">
        <f t="shared" si="102"/>
        <v>108884</v>
      </c>
      <c r="M291" s="56">
        <f>3231+7932</f>
        <v>11163</v>
      </c>
      <c r="N291" s="121">
        <v>0</v>
      </c>
      <c r="O291" s="121">
        <v>4046</v>
      </c>
      <c r="P291" s="56">
        <f t="shared" si="103"/>
        <v>15209</v>
      </c>
      <c r="Q291" s="54">
        <f t="shared" si="104"/>
        <v>124093</v>
      </c>
      <c r="R291" s="121">
        <v>185281</v>
      </c>
      <c r="S291" s="54">
        <f t="shared" si="105"/>
        <v>-61188</v>
      </c>
      <c r="T291" s="46" t="s">
        <v>3</v>
      </c>
    </row>
    <row r="292" spans="1:20" ht="30" hidden="1" customHeight="1" x14ac:dyDescent="0.2">
      <c r="A292" s="120" t="s">
        <v>33</v>
      </c>
      <c r="B292" s="121">
        <v>18360</v>
      </c>
      <c r="C292" s="121">
        <v>15046</v>
      </c>
      <c r="D292" s="56">
        <f t="shared" si="99"/>
        <v>33406</v>
      </c>
      <c r="E292" s="121">
        <f>14824+16111</f>
        <v>30935</v>
      </c>
      <c r="F292" s="56">
        <v>210</v>
      </c>
      <c r="G292" s="56">
        <f t="shared" si="100"/>
        <v>31145</v>
      </c>
      <c r="H292" s="121">
        <f>17541+8992</f>
        <v>26533</v>
      </c>
      <c r="I292" s="121">
        <v>0</v>
      </c>
      <c r="J292" s="121">
        <f t="shared" si="101"/>
        <v>26533</v>
      </c>
      <c r="K292" s="121">
        <v>624</v>
      </c>
      <c r="L292" s="56">
        <f t="shared" si="102"/>
        <v>91708</v>
      </c>
      <c r="M292" s="56">
        <f>1989+2534</f>
        <v>4523</v>
      </c>
      <c r="N292" s="129">
        <v>0</v>
      </c>
      <c r="O292" s="129">
        <v>5722</v>
      </c>
      <c r="P292" s="56">
        <f t="shared" si="103"/>
        <v>10245</v>
      </c>
      <c r="Q292" s="54">
        <f t="shared" si="104"/>
        <v>101953</v>
      </c>
      <c r="R292" s="121">
        <v>286172</v>
      </c>
      <c r="S292" s="54">
        <f t="shared" si="105"/>
        <v>-184219</v>
      </c>
      <c r="T292" s="120" t="s">
        <v>33</v>
      </c>
    </row>
    <row r="293" spans="1:20" ht="30" hidden="1" customHeight="1" x14ac:dyDescent="0.2">
      <c r="A293" s="46" t="s">
        <v>34</v>
      </c>
      <c r="B293" s="121">
        <v>8242</v>
      </c>
      <c r="C293" s="121">
        <v>18516</v>
      </c>
      <c r="D293" s="56">
        <f t="shared" si="99"/>
        <v>26758</v>
      </c>
      <c r="E293" s="121">
        <v>18685</v>
      </c>
      <c r="F293" s="56">
        <v>3147</v>
      </c>
      <c r="G293" s="56">
        <f t="shared" si="100"/>
        <v>21832</v>
      </c>
      <c r="H293" s="121">
        <f>28453+11925</f>
        <v>40378</v>
      </c>
      <c r="I293" s="121">
        <v>0</v>
      </c>
      <c r="J293" s="121">
        <f t="shared" si="101"/>
        <v>40378</v>
      </c>
      <c r="K293" s="121">
        <v>867</v>
      </c>
      <c r="L293" s="56">
        <f t="shared" si="102"/>
        <v>89835</v>
      </c>
      <c r="M293" s="56">
        <f>2993+11620</f>
        <v>14613</v>
      </c>
      <c r="N293" s="121">
        <v>0</v>
      </c>
      <c r="O293" s="121">
        <v>0</v>
      </c>
      <c r="P293" s="56">
        <f t="shared" si="103"/>
        <v>14613</v>
      </c>
      <c r="Q293" s="54">
        <f t="shared" si="104"/>
        <v>104448</v>
      </c>
      <c r="R293" s="121">
        <v>210532</v>
      </c>
      <c r="S293" s="54">
        <f t="shared" si="105"/>
        <v>-106084</v>
      </c>
      <c r="T293" s="46" t="s">
        <v>34</v>
      </c>
    </row>
    <row r="294" spans="1:20" ht="30" hidden="1" customHeight="1" x14ac:dyDescent="0.2">
      <c r="A294" s="46" t="s">
        <v>0</v>
      </c>
      <c r="B294" s="121">
        <v>9939</v>
      </c>
      <c r="C294" s="121">
        <v>20715</v>
      </c>
      <c r="D294" s="56">
        <f t="shared" si="99"/>
        <v>30654</v>
      </c>
      <c r="E294" s="121">
        <v>15273</v>
      </c>
      <c r="F294" s="56">
        <v>260</v>
      </c>
      <c r="G294" s="56">
        <f t="shared" si="100"/>
        <v>15533</v>
      </c>
      <c r="H294" s="121">
        <f>27665+20463</f>
        <v>48128</v>
      </c>
      <c r="I294" s="121">
        <v>0</v>
      </c>
      <c r="J294" s="121">
        <f t="shared" si="101"/>
        <v>48128</v>
      </c>
      <c r="K294" s="121">
        <v>4127</v>
      </c>
      <c r="L294" s="56">
        <f t="shared" si="102"/>
        <v>98442</v>
      </c>
      <c r="M294" s="56">
        <f>13981+2986</f>
        <v>16967</v>
      </c>
      <c r="N294" s="121">
        <v>0</v>
      </c>
      <c r="O294" s="121">
        <v>0</v>
      </c>
      <c r="P294" s="56">
        <f t="shared" si="103"/>
        <v>16967</v>
      </c>
      <c r="Q294" s="54">
        <f t="shared" si="104"/>
        <v>115409</v>
      </c>
      <c r="R294" s="121">
        <v>208317</v>
      </c>
      <c r="S294" s="54">
        <f t="shared" si="105"/>
        <v>-92908</v>
      </c>
      <c r="T294" s="46" t="s">
        <v>0</v>
      </c>
    </row>
    <row r="295" spans="1:20" ht="30" hidden="1" customHeight="1" x14ac:dyDescent="0.2">
      <c r="A295" s="46" t="s">
        <v>1</v>
      </c>
      <c r="B295" s="121">
        <v>1019</v>
      </c>
      <c r="C295" s="121">
        <v>27088</v>
      </c>
      <c r="D295" s="56">
        <f t="shared" si="99"/>
        <v>28107</v>
      </c>
      <c r="E295" s="121">
        <v>14087</v>
      </c>
      <c r="F295" s="56">
        <v>0</v>
      </c>
      <c r="G295" s="56">
        <f t="shared" si="100"/>
        <v>14087</v>
      </c>
      <c r="H295" s="121">
        <f>21178+9301</f>
        <v>30479</v>
      </c>
      <c r="I295" s="121">
        <v>0</v>
      </c>
      <c r="J295" s="121">
        <f t="shared" si="101"/>
        <v>30479</v>
      </c>
      <c r="K295" s="121">
        <v>9</v>
      </c>
      <c r="L295" s="56">
        <f t="shared" si="102"/>
        <v>72682</v>
      </c>
      <c r="M295" s="56">
        <f>6813+664</f>
        <v>7477</v>
      </c>
      <c r="N295" s="121">
        <v>0</v>
      </c>
      <c r="O295" s="121">
        <v>0</v>
      </c>
      <c r="P295" s="56">
        <f t="shared" si="103"/>
        <v>7477</v>
      </c>
      <c r="Q295" s="54">
        <f t="shared" si="104"/>
        <v>80159</v>
      </c>
      <c r="R295" s="121">
        <v>196544</v>
      </c>
      <c r="S295" s="54">
        <f t="shared" si="105"/>
        <v>-116385</v>
      </c>
      <c r="T295" s="46" t="s">
        <v>1</v>
      </c>
    </row>
    <row r="296" spans="1:20" ht="30" hidden="1" customHeight="1" x14ac:dyDescent="0.2">
      <c r="A296" s="46" t="s">
        <v>2</v>
      </c>
      <c r="B296" s="121">
        <v>4770</v>
      </c>
      <c r="C296" s="121">
        <v>41882</v>
      </c>
      <c r="D296" s="56">
        <f t="shared" si="99"/>
        <v>46652</v>
      </c>
      <c r="E296" s="121">
        <v>17198</v>
      </c>
      <c r="F296" s="56">
        <v>0</v>
      </c>
      <c r="G296" s="56">
        <f t="shared" si="100"/>
        <v>17198</v>
      </c>
      <c r="H296" s="121">
        <f>19836+11993</f>
        <v>31829</v>
      </c>
      <c r="I296" s="121">
        <v>0</v>
      </c>
      <c r="J296" s="121">
        <f t="shared" si="101"/>
        <v>31829</v>
      </c>
      <c r="K296" s="121">
        <v>202</v>
      </c>
      <c r="L296" s="56">
        <f t="shared" si="102"/>
        <v>95881</v>
      </c>
      <c r="M296" s="56">
        <f>4327+99689</f>
        <v>104016</v>
      </c>
      <c r="N296" s="121">
        <v>0</v>
      </c>
      <c r="O296" s="121">
        <v>0</v>
      </c>
      <c r="P296" s="56">
        <f t="shared" si="103"/>
        <v>104016</v>
      </c>
      <c r="Q296" s="54">
        <f t="shared" si="104"/>
        <v>199897</v>
      </c>
      <c r="R296" s="121">
        <v>299981</v>
      </c>
      <c r="S296" s="54">
        <f t="shared" si="105"/>
        <v>-100084</v>
      </c>
      <c r="T296" s="46" t="s">
        <v>2</v>
      </c>
    </row>
    <row r="297" spans="1:20" ht="30" hidden="1" customHeight="1" x14ac:dyDescent="0.2">
      <c r="A297" s="46" t="s">
        <v>36</v>
      </c>
      <c r="B297" s="121">
        <v>2019</v>
      </c>
      <c r="C297" s="121">
        <v>35246</v>
      </c>
      <c r="D297" s="56">
        <f t="shared" si="99"/>
        <v>37265</v>
      </c>
      <c r="E297" s="121">
        <v>23042</v>
      </c>
      <c r="F297" s="56">
        <v>0</v>
      </c>
      <c r="G297" s="56">
        <f t="shared" si="100"/>
        <v>23042</v>
      </c>
      <c r="H297" s="121">
        <f>26773+9671</f>
        <v>36444</v>
      </c>
      <c r="I297" s="121">
        <v>0</v>
      </c>
      <c r="J297" s="121">
        <f t="shared" si="101"/>
        <v>36444</v>
      </c>
      <c r="K297" s="121">
        <v>0</v>
      </c>
      <c r="L297" s="56">
        <f t="shared" si="102"/>
        <v>96751</v>
      </c>
      <c r="M297" s="56">
        <f>5777+52814</f>
        <v>58591</v>
      </c>
      <c r="N297" s="121">
        <v>0</v>
      </c>
      <c r="O297" s="121">
        <v>0</v>
      </c>
      <c r="P297" s="56">
        <f t="shared" si="103"/>
        <v>58591</v>
      </c>
      <c r="Q297" s="54">
        <f t="shared" si="104"/>
        <v>155342</v>
      </c>
      <c r="R297" s="121">
        <v>228469</v>
      </c>
      <c r="S297" s="54">
        <f t="shared" si="105"/>
        <v>-73127</v>
      </c>
      <c r="T297" s="46" t="s">
        <v>36</v>
      </c>
    </row>
    <row r="298" spans="1:20" ht="36.75" hidden="1" customHeight="1" x14ac:dyDescent="0.2">
      <c r="A298" s="46" t="s">
        <v>38</v>
      </c>
      <c r="B298" s="121">
        <v>741</v>
      </c>
      <c r="C298" s="121">
        <v>36712</v>
      </c>
      <c r="D298" s="56">
        <f t="shared" si="99"/>
        <v>37453</v>
      </c>
      <c r="E298" s="121">
        <v>13907</v>
      </c>
      <c r="F298" s="56">
        <v>0</v>
      </c>
      <c r="G298" s="56">
        <f t="shared" si="100"/>
        <v>13907</v>
      </c>
      <c r="H298" s="121">
        <f>30343+13917</f>
        <v>44260</v>
      </c>
      <c r="I298" s="121">
        <v>0</v>
      </c>
      <c r="J298" s="121">
        <f t="shared" si="101"/>
        <v>44260</v>
      </c>
      <c r="K298" s="121">
        <v>0</v>
      </c>
      <c r="L298" s="56">
        <f t="shared" si="102"/>
        <v>95620</v>
      </c>
      <c r="M298" s="56">
        <f>2904+3916</f>
        <v>6820</v>
      </c>
      <c r="N298" s="121">
        <v>0</v>
      </c>
      <c r="O298" s="121">
        <v>0</v>
      </c>
      <c r="P298" s="56">
        <f t="shared" si="103"/>
        <v>6820</v>
      </c>
      <c r="Q298" s="54">
        <f t="shared" si="104"/>
        <v>102440</v>
      </c>
      <c r="R298" s="121">
        <v>214202</v>
      </c>
      <c r="S298" s="54">
        <f t="shared" si="105"/>
        <v>-111762</v>
      </c>
      <c r="T298" s="46" t="s">
        <v>38</v>
      </c>
    </row>
    <row r="299" spans="1:20" ht="36.75" hidden="1" customHeight="1" x14ac:dyDescent="0.2">
      <c r="A299" s="46" t="s">
        <v>39</v>
      </c>
      <c r="B299" s="121">
        <v>2849</v>
      </c>
      <c r="C299" s="121">
        <v>40506</v>
      </c>
      <c r="D299" s="56">
        <f t="shared" si="99"/>
        <v>43355</v>
      </c>
      <c r="E299" s="121">
        <v>31965</v>
      </c>
      <c r="F299" s="56">
        <v>0</v>
      </c>
      <c r="G299" s="56">
        <f t="shared" si="100"/>
        <v>31965</v>
      </c>
      <c r="H299" s="121">
        <f>1635+27850</f>
        <v>29485</v>
      </c>
      <c r="I299" s="121">
        <v>0</v>
      </c>
      <c r="J299" s="121">
        <f t="shared" si="101"/>
        <v>29485</v>
      </c>
      <c r="K299" s="121">
        <v>0</v>
      </c>
      <c r="L299" s="56">
        <f t="shared" si="102"/>
        <v>104805</v>
      </c>
      <c r="M299" s="56">
        <f>22446+4111</f>
        <v>26557</v>
      </c>
      <c r="N299" s="121">
        <v>0</v>
      </c>
      <c r="O299" s="121">
        <v>0</v>
      </c>
      <c r="P299" s="56">
        <f t="shared" si="103"/>
        <v>26557</v>
      </c>
      <c r="Q299" s="54">
        <f t="shared" si="104"/>
        <v>131362</v>
      </c>
      <c r="R299" s="121">
        <v>233277</v>
      </c>
      <c r="S299" s="54">
        <f t="shared" si="105"/>
        <v>-101915</v>
      </c>
      <c r="T299" s="46" t="s">
        <v>39</v>
      </c>
    </row>
    <row r="300" spans="1:20" ht="36.75" hidden="1" customHeight="1" x14ac:dyDescent="0.2">
      <c r="A300" s="46" t="s">
        <v>40</v>
      </c>
      <c r="B300" s="121">
        <v>0</v>
      </c>
      <c r="C300" s="121">
        <v>45828</v>
      </c>
      <c r="D300" s="56">
        <f t="shared" si="99"/>
        <v>45828</v>
      </c>
      <c r="E300" s="121">
        <v>29788</v>
      </c>
      <c r="F300" s="56">
        <v>0</v>
      </c>
      <c r="G300" s="56">
        <f t="shared" si="100"/>
        <v>29788</v>
      </c>
      <c r="H300" s="121">
        <f>15+27778</f>
        <v>27793</v>
      </c>
      <c r="I300" s="121">
        <v>0</v>
      </c>
      <c r="J300" s="121">
        <f t="shared" si="101"/>
        <v>27793</v>
      </c>
      <c r="K300" s="121">
        <v>0</v>
      </c>
      <c r="L300" s="56">
        <f t="shared" si="102"/>
        <v>103409</v>
      </c>
      <c r="M300" s="56">
        <f>4637+7212</f>
        <v>11849</v>
      </c>
      <c r="N300" s="121">
        <v>0</v>
      </c>
      <c r="O300" s="121">
        <v>0</v>
      </c>
      <c r="P300" s="56">
        <f t="shared" si="103"/>
        <v>11849</v>
      </c>
      <c r="Q300" s="54">
        <f t="shared" si="104"/>
        <v>115258</v>
      </c>
      <c r="R300" s="121">
        <v>334746</v>
      </c>
      <c r="S300" s="54">
        <f t="shared" si="105"/>
        <v>-219488</v>
      </c>
      <c r="T300" s="46" t="s">
        <v>40</v>
      </c>
    </row>
    <row r="301" spans="1:20" ht="36.75" hidden="1" customHeight="1" x14ac:dyDescent="0.2">
      <c r="A301" s="18"/>
      <c r="B301" s="124"/>
      <c r="C301" s="124"/>
      <c r="D301" s="126"/>
      <c r="E301" s="124"/>
      <c r="F301" s="126"/>
      <c r="G301" s="126"/>
      <c r="H301" s="124"/>
      <c r="I301" s="124"/>
      <c r="J301" s="124"/>
      <c r="K301" s="124"/>
      <c r="L301" s="126"/>
      <c r="M301" s="126"/>
      <c r="N301" s="124"/>
      <c r="O301" s="124"/>
      <c r="P301" s="126"/>
      <c r="Q301" s="29"/>
      <c r="R301" s="124"/>
      <c r="S301" s="29"/>
      <c r="T301" s="18"/>
    </row>
    <row r="302" spans="1:20" ht="36.75" hidden="1" customHeight="1" x14ac:dyDescent="0.25">
      <c r="A302" s="36">
        <v>2011</v>
      </c>
      <c r="B302" s="124"/>
      <c r="C302" s="124"/>
      <c r="D302" s="126"/>
      <c r="E302" s="124"/>
      <c r="F302" s="126"/>
      <c r="G302" s="126"/>
      <c r="H302" s="124"/>
      <c r="I302" s="124"/>
      <c r="J302" s="124"/>
      <c r="K302" s="124"/>
      <c r="L302" s="126"/>
      <c r="M302" s="126"/>
      <c r="N302" s="124"/>
      <c r="O302" s="124"/>
      <c r="P302" s="126"/>
      <c r="Q302" s="29"/>
      <c r="R302" s="124"/>
      <c r="S302" s="29"/>
      <c r="T302" s="36">
        <v>2011</v>
      </c>
    </row>
    <row r="303" spans="1:20" ht="36.75" hidden="1" customHeight="1" x14ac:dyDescent="0.25">
      <c r="A303" s="36" t="s">
        <v>32</v>
      </c>
      <c r="B303" s="21">
        <f>B289+B290+B291</f>
        <v>26889</v>
      </c>
      <c r="C303" s="21">
        <f t="shared" ref="C303:S303" si="106">C289+C290+C291</f>
        <v>108213</v>
      </c>
      <c r="D303" s="21">
        <f t="shared" si="106"/>
        <v>135102</v>
      </c>
      <c r="E303" s="21">
        <f t="shared" si="106"/>
        <v>82331</v>
      </c>
      <c r="F303" s="21">
        <f t="shared" si="106"/>
        <v>1432</v>
      </c>
      <c r="G303" s="21">
        <f t="shared" si="106"/>
        <v>83763</v>
      </c>
      <c r="H303" s="21">
        <f t="shared" si="106"/>
        <v>96528</v>
      </c>
      <c r="I303" s="21">
        <f t="shared" si="106"/>
        <v>0</v>
      </c>
      <c r="J303" s="21">
        <f t="shared" si="106"/>
        <v>96528</v>
      </c>
      <c r="K303" s="21">
        <f t="shared" si="106"/>
        <v>1193</v>
      </c>
      <c r="L303" s="21">
        <f t="shared" si="106"/>
        <v>316586</v>
      </c>
      <c r="M303" s="21">
        <f t="shared" si="106"/>
        <v>22853</v>
      </c>
      <c r="N303" s="21">
        <f t="shared" si="106"/>
        <v>0</v>
      </c>
      <c r="O303" s="21">
        <f t="shared" si="106"/>
        <v>10837</v>
      </c>
      <c r="P303" s="21">
        <f t="shared" si="106"/>
        <v>33690</v>
      </c>
      <c r="Q303" s="21">
        <f t="shared" si="106"/>
        <v>350276</v>
      </c>
      <c r="R303" s="21">
        <f t="shared" si="106"/>
        <v>609260</v>
      </c>
      <c r="S303" s="21">
        <f t="shared" si="106"/>
        <v>-258984</v>
      </c>
      <c r="T303" s="36" t="s">
        <v>32</v>
      </c>
    </row>
    <row r="304" spans="1:20" ht="36.75" hidden="1" customHeight="1" x14ac:dyDescent="0.25">
      <c r="A304" s="36" t="s">
        <v>35</v>
      </c>
      <c r="B304" s="21">
        <f>B292+B293+B294</f>
        <v>36541</v>
      </c>
      <c r="C304" s="21">
        <f t="shared" ref="C304:S304" si="107">C292+C293+C294</f>
        <v>54277</v>
      </c>
      <c r="D304" s="21">
        <f t="shared" si="107"/>
        <v>90818</v>
      </c>
      <c r="E304" s="21">
        <f t="shared" si="107"/>
        <v>64893</v>
      </c>
      <c r="F304" s="21">
        <f t="shared" si="107"/>
        <v>3617</v>
      </c>
      <c r="G304" s="21">
        <f t="shared" si="107"/>
        <v>68510</v>
      </c>
      <c r="H304" s="21">
        <f t="shared" si="107"/>
        <v>115039</v>
      </c>
      <c r="I304" s="21">
        <f t="shared" si="107"/>
        <v>0</v>
      </c>
      <c r="J304" s="21">
        <f t="shared" si="107"/>
        <v>115039</v>
      </c>
      <c r="K304" s="21">
        <f t="shared" si="107"/>
        <v>5618</v>
      </c>
      <c r="L304" s="21">
        <f t="shared" si="107"/>
        <v>279985</v>
      </c>
      <c r="M304" s="21">
        <f t="shared" si="107"/>
        <v>36103</v>
      </c>
      <c r="N304" s="21">
        <f t="shared" si="107"/>
        <v>0</v>
      </c>
      <c r="O304" s="21">
        <f t="shared" si="107"/>
        <v>5722</v>
      </c>
      <c r="P304" s="21">
        <f t="shared" si="107"/>
        <v>41825</v>
      </c>
      <c r="Q304" s="21">
        <f t="shared" si="107"/>
        <v>321810</v>
      </c>
      <c r="R304" s="21">
        <f t="shared" si="107"/>
        <v>705021</v>
      </c>
      <c r="S304" s="21">
        <f t="shared" si="107"/>
        <v>-383211</v>
      </c>
      <c r="T304" s="36" t="s">
        <v>35</v>
      </c>
    </row>
    <row r="305" spans="1:20" ht="36.75" hidden="1" customHeight="1" x14ac:dyDescent="0.25">
      <c r="A305" s="36" t="s">
        <v>37</v>
      </c>
      <c r="B305" s="21">
        <f>B295+B296+B297</f>
        <v>7808</v>
      </c>
      <c r="C305" s="21">
        <f t="shared" ref="C305:S305" si="108">C295+C296+C297</f>
        <v>104216</v>
      </c>
      <c r="D305" s="21">
        <f t="shared" si="108"/>
        <v>112024</v>
      </c>
      <c r="E305" s="21">
        <f t="shared" si="108"/>
        <v>54327</v>
      </c>
      <c r="F305" s="21">
        <f t="shared" si="108"/>
        <v>0</v>
      </c>
      <c r="G305" s="21">
        <f t="shared" si="108"/>
        <v>54327</v>
      </c>
      <c r="H305" s="21">
        <f t="shared" si="108"/>
        <v>98752</v>
      </c>
      <c r="I305" s="21">
        <f t="shared" si="108"/>
        <v>0</v>
      </c>
      <c r="J305" s="21">
        <f t="shared" si="108"/>
        <v>98752</v>
      </c>
      <c r="K305" s="21">
        <f t="shared" si="108"/>
        <v>211</v>
      </c>
      <c r="L305" s="21">
        <f t="shared" si="108"/>
        <v>265314</v>
      </c>
      <c r="M305" s="21">
        <f t="shared" si="108"/>
        <v>170084</v>
      </c>
      <c r="N305" s="21">
        <f t="shared" si="108"/>
        <v>0</v>
      </c>
      <c r="O305" s="21">
        <f t="shared" si="108"/>
        <v>0</v>
      </c>
      <c r="P305" s="21">
        <f t="shared" si="108"/>
        <v>170084</v>
      </c>
      <c r="Q305" s="21">
        <f t="shared" si="108"/>
        <v>435398</v>
      </c>
      <c r="R305" s="21">
        <f t="shared" si="108"/>
        <v>724994</v>
      </c>
      <c r="S305" s="21">
        <f t="shared" si="108"/>
        <v>-289596</v>
      </c>
      <c r="T305" s="36" t="s">
        <v>37</v>
      </c>
    </row>
    <row r="306" spans="1:20" ht="27.75" hidden="1" customHeight="1" x14ac:dyDescent="0.25">
      <c r="A306" s="36" t="s">
        <v>41</v>
      </c>
      <c r="B306" s="21">
        <f>B298+B299+B300</f>
        <v>3590</v>
      </c>
      <c r="C306" s="21">
        <f t="shared" ref="C306:S306" si="109">C298+C299+C300</f>
        <v>123046</v>
      </c>
      <c r="D306" s="21">
        <f t="shared" si="109"/>
        <v>126636</v>
      </c>
      <c r="E306" s="21">
        <f t="shared" si="109"/>
        <v>75660</v>
      </c>
      <c r="F306" s="21">
        <f t="shared" si="109"/>
        <v>0</v>
      </c>
      <c r="G306" s="21">
        <f t="shared" si="109"/>
        <v>75660</v>
      </c>
      <c r="H306" s="21">
        <f t="shared" si="109"/>
        <v>101538</v>
      </c>
      <c r="I306" s="21">
        <f t="shared" si="109"/>
        <v>0</v>
      </c>
      <c r="J306" s="21">
        <f t="shared" si="109"/>
        <v>101538</v>
      </c>
      <c r="K306" s="21">
        <f t="shared" si="109"/>
        <v>0</v>
      </c>
      <c r="L306" s="21">
        <f t="shared" si="109"/>
        <v>303834</v>
      </c>
      <c r="M306" s="21">
        <f t="shared" si="109"/>
        <v>45226</v>
      </c>
      <c r="N306" s="21">
        <f t="shared" si="109"/>
        <v>0</v>
      </c>
      <c r="O306" s="21">
        <f t="shared" si="109"/>
        <v>0</v>
      </c>
      <c r="P306" s="21">
        <f t="shared" si="109"/>
        <v>45226</v>
      </c>
      <c r="Q306" s="21">
        <f t="shared" si="109"/>
        <v>349060</v>
      </c>
      <c r="R306" s="21">
        <f t="shared" si="109"/>
        <v>782225</v>
      </c>
      <c r="S306" s="21">
        <f t="shared" si="109"/>
        <v>-433165</v>
      </c>
      <c r="T306" s="36" t="s">
        <v>41</v>
      </c>
    </row>
    <row r="307" spans="1:20" ht="27.75" hidden="1" customHeight="1" x14ac:dyDescent="0.25">
      <c r="A307" s="36">
        <v>2012</v>
      </c>
      <c r="B307" s="21" t="e">
        <f>SUM(#REF!)</f>
        <v>#REF!</v>
      </c>
      <c r="C307" s="111" t="e">
        <f>SUM(#REF!)</f>
        <v>#REF!</v>
      </c>
      <c r="D307" s="22" t="e">
        <f>SUM(#REF!)</f>
        <v>#REF!</v>
      </c>
      <c r="E307" s="21" t="e">
        <f>SUM(#REF!)</f>
        <v>#REF!</v>
      </c>
      <c r="F307" s="21" t="e">
        <f>SUM(#REF!)</f>
        <v>#REF!</v>
      </c>
      <c r="G307" s="22" t="e">
        <f>SUM(#REF!)</f>
        <v>#REF!</v>
      </c>
      <c r="H307" s="21" t="e">
        <f>SUM(#REF!)</f>
        <v>#REF!</v>
      </c>
      <c r="I307" s="21" t="e">
        <f>SUM(#REF!)</f>
        <v>#REF!</v>
      </c>
      <c r="J307" s="22" t="e">
        <f>SUM(#REF!)</f>
        <v>#REF!</v>
      </c>
      <c r="K307" s="21" t="e">
        <f>SUM(#REF!)</f>
        <v>#REF!</v>
      </c>
      <c r="L307" s="22" t="e">
        <f>SUM(#REF!)</f>
        <v>#REF!</v>
      </c>
      <c r="M307" s="21" t="e">
        <f>SUM(#REF!)</f>
        <v>#REF!</v>
      </c>
      <c r="N307" s="25" t="e">
        <f>SUM(#REF!)</f>
        <v>#REF!</v>
      </c>
      <c r="O307" s="21" t="e">
        <f>SUM(#REF!)</f>
        <v>#REF!</v>
      </c>
      <c r="P307" s="24" t="e">
        <f>SUM(#REF!)</f>
        <v>#REF!</v>
      </c>
      <c r="Q307" s="21" t="e">
        <f>SUM(#REF!)</f>
        <v>#REF!</v>
      </c>
      <c r="R307" s="21" t="e">
        <f>SUM(#REF!)</f>
        <v>#REF!</v>
      </c>
      <c r="S307" s="22" t="e">
        <f>SUM(#REF!)</f>
        <v>#REF!</v>
      </c>
      <c r="T307" s="36">
        <v>2012</v>
      </c>
    </row>
    <row r="308" spans="1:20" ht="27.75" hidden="1" customHeight="1" x14ac:dyDescent="0.25">
      <c r="A308" s="36"/>
      <c r="B308" s="21"/>
      <c r="C308" s="111"/>
      <c r="D308" s="22"/>
      <c r="E308" s="21"/>
      <c r="F308" s="21"/>
      <c r="G308" s="22"/>
      <c r="H308" s="21"/>
      <c r="I308" s="21"/>
      <c r="J308" s="22"/>
      <c r="K308" s="21"/>
      <c r="L308" s="22"/>
      <c r="M308" s="21"/>
      <c r="N308" s="25"/>
      <c r="O308" s="21"/>
      <c r="P308" s="24"/>
      <c r="Q308" s="21"/>
      <c r="R308" s="21"/>
      <c r="S308" s="22"/>
      <c r="T308" s="36"/>
    </row>
    <row r="309" spans="1:20" ht="27.75" hidden="1" customHeight="1" x14ac:dyDescent="0.25">
      <c r="A309" s="36">
        <v>2012</v>
      </c>
      <c r="B309" s="21"/>
      <c r="C309" s="111"/>
      <c r="D309" s="22"/>
      <c r="E309" s="21"/>
      <c r="F309" s="21"/>
      <c r="G309" s="22"/>
      <c r="H309" s="21"/>
      <c r="I309" s="21"/>
      <c r="J309" s="22"/>
      <c r="K309" s="21"/>
      <c r="L309" s="22"/>
      <c r="M309" s="21"/>
      <c r="N309" s="25"/>
      <c r="O309" s="21"/>
      <c r="P309" s="24"/>
      <c r="Q309" s="21"/>
      <c r="R309" s="21"/>
      <c r="S309" s="22"/>
      <c r="T309" s="36">
        <v>2012</v>
      </c>
    </row>
    <row r="310" spans="1:20" ht="27.75" hidden="1" customHeight="1" x14ac:dyDescent="0.25">
      <c r="A310" s="36" t="s">
        <v>32</v>
      </c>
      <c r="B310" s="21" t="e">
        <f>SUM(#REF!)</f>
        <v>#REF!</v>
      </c>
      <c r="C310" s="21" t="e">
        <f>SUM(#REF!)</f>
        <v>#REF!</v>
      </c>
      <c r="D310" s="21" t="e">
        <f>SUM(#REF!)</f>
        <v>#REF!</v>
      </c>
      <c r="E310" s="21" t="e">
        <f>SUM(#REF!)</f>
        <v>#REF!</v>
      </c>
      <c r="F310" s="21" t="e">
        <f>SUM(#REF!)</f>
        <v>#REF!</v>
      </c>
      <c r="G310" s="21" t="e">
        <f>SUM(#REF!)</f>
        <v>#REF!</v>
      </c>
      <c r="H310" s="21" t="e">
        <f>SUM(#REF!)</f>
        <v>#REF!</v>
      </c>
      <c r="I310" s="21" t="e">
        <f>SUM(#REF!)</f>
        <v>#REF!</v>
      </c>
      <c r="J310" s="21" t="e">
        <f>SUM(#REF!)</f>
        <v>#REF!</v>
      </c>
      <c r="K310" s="21" t="e">
        <f>SUM(#REF!)</f>
        <v>#REF!</v>
      </c>
      <c r="L310" s="21" t="e">
        <f>SUM(#REF!)</f>
        <v>#REF!</v>
      </c>
      <c r="M310" s="21" t="e">
        <f>SUM(#REF!)</f>
        <v>#REF!</v>
      </c>
      <c r="N310" s="21" t="e">
        <f>SUM(#REF!)</f>
        <v>#REF!</v>
      </c>
      <c r="O310" s="21" t="e">
        <f>SUM(#REF!)</f>
        <v>#REF!</v>
      </c>
      <c r="P310" s="21" t="e">
        <f>SUM(#REF!)</f>
        <v>#REF!</v>
      </c>
      <c r="Q310" s="21" t="e">
        <f>SUM(#REF!)</f>
        <v>#REF!</v>
      </c>
      <c r="R310" s="21" t="e">
        <f>SUM(#REF!)</f>
        <v>#REF!</v>
      </c>
      <c r="S310" s="21" t="e">
        <f>SUM(#REF!)</f>
        <v>#REF!</v>
      </c>
      <c r="T310" s="36" t="s">
        <v>32</v>
      </c>
    </row>
    <row r="311" spans="1:20" ht="27.75" hidden="1" customHeight="1" x14ac:dyDescent="0.25">
      <c r="A311" s="36" t="s">
        <v>35</v>
      </c>
      <c r="B311" s="21" t="e">
        <f>SUM(#REF!)</f>
        <v>#REF!</v>
      </c>
      <c r="C311" s="21" t="e">
        <f>SUM(#REF!)</f>
        <v>#REF!</v>
      </c>
      <c r="D311" s="21" t="e">
        <f>SUM(#REF!)</f>
        <v>#REF!</v>
      </c>
      <c r="E311" s="21" t="e">
        <f>SUM(#REF!)</f>
        <v>#REF!</v>
      </c>
      <c r="F311" s="21" t="e">
        <f>SUM(#REF!)</f>
        <v>#REF!</v>
      </c>
      <c r="G311" s="21" t="e">
        <f>SUM(#REF!)</f>
        <v>#REF!</v>
      </c>
      <c r="H311" s="21" t="e">
        <f>SUM(#REF!)</f>
        <v>#REF!</v>
      </c>
      <c r="I311" s="21" t="e">
        <f>SUM(#REF!)</f>
        <v>#REF!</v>
      </c>
      <c r="J311" s="21" t="e">
        <f>SUM(#REF!)</f>
        <v>#REF!</v>
      </c>
      <c r="K311" s="21" t="e">
        <f>SUM(#REF!)</f>
        <v>#REF!</v>
      </c>
      <c r="L311" s="21" t="e">
        <f>SUM(#REF!)</f>
        <v>#REF!</v>
      </c>
      <c r="M311" s="21" t="e">
        <f>SUM(#REF!)</f>
        <v>#REF!</v>
      </c>
      <c r="N311" s="21" t="e">
        <f>SUM(#REF!)</f>
        <v>#REF!</v>
      </c>
      <c r="O311" s="21" t="e">
        <f>SUM(#REF!)</f>
        <v>#REF!</v>
      </c>
      <c r="P311" s="21" t="e">
        <f>SUM(#REF!)</f>
        <v>#REF!</v>
      </c>
      <c r="Q311" s="21" t="e">
        <f>SUM(#REF!)</f>
        <v>#REF!</v>
      </c>
      <c r="R311" s="21" t="e">
        <f>SUM(#REF!)</f>
        <v>#REF!</v>
      </c>
      <c r="S311" s="21" t="e">
        <f>SUM(#REF!)</f>
        <v>#REF!</v>
      </c>
      <c r="T311" s="36" t="s">
        <v>35</v>
      </c>
    </row>
    <row r="312" spans="1:20" ht="27.75" hidden="1" customHeight="1" x14ac:dyDescent="0.25">
      <c r="A312" s="36" t="s">
        <v>37</v>
      </c>
      <c r="B312" s="21" t="e">
        <f>SUM(#REF!)</f>
        <v>#REF!</v>
      </c>
      <c r="C312" s="21" t="e">
        <f>SUM(#REF!)</f>
        <v>#REF!</v>
      </c>
      <c r="D312" s="21" t="e">
        <f>SUM(#REF!)</f>
        <v>#REF!</v>
      </c>
      <c r="E312" s="21" t="e">
        <f>SUM(#REF!)</f>
        <v>#REF!</v>
      </c>
      <c r="F312" s="21" t="e">
        <f>SUM(#REF!)</f>
        <v>#REF!</v>
      </c>
      <c r="G312" s="21" t="e">
        <f>SUM(#REF!)</f>
        <v>#REF!</v>
      </c>
      <c r="H312" s="21" t="e">
        <f>SUM(#REF!)</f>
        <v>#REF!</v>
      </c>
      <c r="I312" s="21" t="e">
        <f>SUM(#REF!)</f>
        <v>#REF!</v>
      </c>
      <c r="J312" s="21" t="e">
        <f>SUM(#REF!)</f>
        <v>#REF!</v>
      </c>
      <c r="K312" s="21" t="e">
        <f>SUM(#REF!)</f>
        <v>#REF!</v>
      </c>
      <c r="L312" s="21" t="e">
        <f>SUM(#REF!)</f>
        <v>#REF!</v>
      </c>
      <c r="M312" s="21" t="e">
        <f>SUM(#REF!)</f>
        <v>#REF!</v>
      </c>
      <c r="N312" s="21" t="e">
        <f>SUM(#REF!)</f>
        <v>#REF!</v>
      </c>
      <c r="O312" s="21" t="e">
        <f>SUM(#REF!)</f>
        <v>#REF!</v>
      </c>
      <c r="P312" s="21" t="e">
        <f>SUM(#REF!)</f>
        <v>#REF!</v>
      </c>
      <c r="Q312" s="21" t="e">
        <f>SUM(#REF!)</f>
        <v>#REF!</v>
      </c>
      <c r="R312" s="21" t="e">
        <f>SUM(#REF!)</f>
        <v>#REF!</v>
      </c>
      <c r="S312" s="21" t="e">
        <f>SUM(#REF!)</f>
        <v>#REF!</v>
      </c>
      <c r="T312" s="36" t="s">
        <v>37</v>
      </c>
    </row>
    <row r="313" spans="1:20" ht="22.5" hidden="1" customHeight="1" x14ac:dyDescent="0.25">
      <c r="A313" s="36" t="s">
        <v>41</v>
      </c>
      <c r="B313" s="21" t="e">
        <f>SUM(#REF!)</f>
        <v>#REF!</v>
      </c>
      <c r="C313" s="21" t="e">
        <f>SUM(#REF!)</f>
        <v>#REF!</v>
      </c>
      <c r="D313" s="21" t="e">
        <f>SUM(#REF!)</f>
        <v>#REF!</v>
      </c>
      <c r="E313" s="21" t="e">
        <f>SUM(#REF!)</f>
        <v>#REF!</v>
      </c>
      <c r="F313" s="21" t="e">
        <f>SUM(#REF!)</f>
        <v>#REF!</v>
      </c>
      <c r="G313" s="21" t="e">
        <f>SUM(#REF!)</f>
        <v>#REF!</v>
      </c>
      <c r="H313" s="21" t="e">
        <f>SUM(#REF!)</f>
        <v>#REF!</v>
      </c>
      <c r="I313" s="21" t="e">
        <f>SUM(#REF!)</f>
        <v>#REF!</v>
      </c>
      <c r="J313" s="21" t="e">
        <f>SUM(#REF!)</f>
        <v>#REF!</v>
      </c>
      <c r="K313" s="21" t="e">
        <f>SUM(#REF!)</f>
        <v>#REF!</v>
      </c>
      <c r="L313" s="21" t="e">
        <f>SUM(#REF!)</f>
        <v>#REF!</v>
      </c>
      <c r="M313" s="21" t="e">
        <f>SUM(#REF!)</f>
        <v>#REF!</v>
      </c>
      <c r="N313" s="21" t="e">
        <f>SUM(#REF!)</f>
        <v>#REF!</v>
      </c>
      <c r="O313" s="21" t="e">
        <f>SUM(#REF!)</f>
        <v>#REF!</v>
      </c>
      <c r="P313" s="21" t="e">
        <f>SUM(#REF!)</f>
        <v>#REF!</v>
      </c>
      <c r="Q313" s="21" t="e">
        <f>SUM(#REF!)</f>
        <v>#REF!</v>
      </c>
      <c r="R313" s="21" t="e">
        <f>SUM(#REF!)</f>
        <v>#REF!</v>
      </c>
      <c r="S313" s="21" t="e">
        <f>SUM(#REF!)</f>
        <v>#REF!</v>
      </c>
      <c r="T313" s="36" t="s">
        <v>41</v>
      </c>
    </row>
    <row r="314" spans="1:20" ht="22.5" hidden="1" customHeight="1" x14ac:dyDescent="0.25">
      <c r="A314" s="36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36"/>
    </row>
    <row r="315" spans="1:20" ht="22.5" hidden="1" customHeight="1" x14ac:dyDescent="0.25">
      <c r="A315" s="36">
        <v>2013</v>
      </c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36">
        <v>2013</v>
      </c>
    </row>
    <row r="316" spans="1:20" ht="22.5" hidden="1" customHeight="1" x14ac:dyDescent="0.25">
      <c r="A316" s="36" t="s">
        <v>32</v>
      </c>
      <c r="B316" s="21" t="e">
        <f>SUM(#REF!)</f>
        <v>#REF!</v>
      </c>
      <c r="C316" s="21" t="e">
        <f>SUM(#REF!)</f>
        <v>#REF!</v>
      </c>
      <c r="D316" s="21" t="e">
        <f>SUM(#REF!)</f>
        <v>#REF!</v>
      </c>
      <c r="E316" s="21" t="e">
        <f>SUM(#REF!)</f>
        <v>#REF!</v>
      </c>
      <c r="F316" s="21" t="e">
        <f>SUM(#REF!)</f>
        <v>#REF!</v>
      </c>
      <c r="G316" s="21" t="e">
        <f>SUM(#REF!)</f>
        <v>#REF!</v>
      </c>
      <c r="H316" s="21" t="e">
        <f>SUM(#REF!)</f>
        <v>#REF!</v>
      </c>
      <c r="I316" s="21" t="e">
        <f>SUM(#REF!)</f>
        <v>#REF!</v>
      </c>
      <c r="J316" s="21" t="e">
        <f>SUM(#REF!)</f>
        <v>#REF!</v>
      </c>
      <c r="K316" s="21" t="e">
        <f>SUM(#REF!)</f>
        <v>#REF!</v>
      </c>
      <c r="L316" s="21" t="e">
        <f>SUM(#REF!)</f>
        <v>#REF!</v>
      </c>
      <c r="M316" s="21" t="e">
        <f>SUM(#REF!)</f>
        <v>#REF!</v>
      </c>
      <c r="N316" s="21" t="e">
        <f>SUM(#REF!)</f>
        <v>#REF!</v>
      </c>
      <c r="O316" s="21" t="e">
        <f>SUM(#REF!)</f>
        <v>#REF!</v>
      </c>
      <c r="P316" s="21" t="e">
        <f>SUM(#REF!)</f>
        <v>#REF!</v>
      </c>
      <c r="Q316" s="21" t="e">
        <f>SUM(#REF!)</f>
        <v>#REF!</v>
      </c>
      <c r="R316" s="21" t="e">
        <f>SUM(#REF!)</f>
        <v>#REF!</v>
      </c>
      <c r="S316" s="21" t="e">
        <f>SUM(#REF!)</f>
        <v>#REF!</v>
      </c>
      <c r="T316" s="36" t="s">
        <v>32</v>
      </c>
    </row>
    <row r="317" spans="1:20" ht="22.5" hidden="1" customHeight="1" x14ac:dyDescent="0.25">
      <c r="A317" s="36" t="s">
        <v>35</v>
      </c>
      <c r="B317" s="21" t="e">
        <f>SUM(#REF!)</f>
        <v>#REF!</v>
      </c>
      <c r="C317" s="21" t="e">
        <f>SUM(#REF!)</f>
        <v>#REF!</v>
      </c>
      <c r="D317" s="21" t="e">
        <f>SUM(#REF!)</f>
        <v>#REF!</v>
      </c>
      <c r="E317" s="21" t="e">
        <f>SUM(#REF!)</f>
        <v>#REF!</v>
      </c>
      <c r="F317" s="21" t="e">
        <f>SUM(#REF!)</f>
        <v>#REF!</v>
      </c>
      <c r="G317" s="21" t="e">
        <f>SUM(#REF!)</f>
        <v>#REF!</v>
      </c>
      <c r="H317" s="21" t="e">
        <f>SUM(#REF!)</f>
        <v>#REF!</v>
      </c>
      <c r="I317" s="21" t="e">
        <f>SUM(#REF!)</f>
        <v>#REF!</v>
      </c>
      <c r="J317" s="21" t="e">
        <f>SUM(#REF!)</f>
        <v>#REF!</v>
      </c>
      <c r="K317" s="21" t="e">
        <f>SUM(#REF!)</f>
        <v>#REF!</v>
      </c>
      <c r="L317" s="21" t="e">
        <f>SUM(#REF!)</f>
        <v>#REF!</v>
      </c>
      <c r="M317" s="21" t="e">
        <f>SUM(#REF!)</f>
        <v>#REF!</v>
      </c>
      <c r="N317" s="21" t="e">
        <f>SUM(#REF!)</f>
        <v>#REF!</v>
      </c>
      <c r="O317" s="21" t="e">
        <f>SUM(#REF!)</f>
        <v>#REF!</v>
      </c>
      <c r="P317" s="21" t="e">
        <f>SUM(#REF!)</f>
        <v>#REF!</v>
      </c>
      <c r="Q317" s="21" t="e">
        <f>SUM(#REF!)</f>
        <v>#REF!</v>
      </c>
      <c r="R317" s="21" t="e">
        <f>SUM(#REF!)</f>
        <v>#REF!</v>
      </c>
      <c r="S317" s="21" t="e">
        <f>SUM(#REF!)</f>
        <v>#REF!</v>
      </c>
      <c r="T317" s="36" t="s">
        <v>35</v>
      </c>
    </row>
    <row r="318" spans="1:20" ht="22.5" hidden="1" customHeight="1" x14ac:dyDescent="0.25">
      <c r="A318" s="36" t="s">
        <v>37</v>
      </c>
      <c r="B318" s="21" t="e">
        <f>SUM(#REF!)</f>
        <v>#REF!</v>
      </c>
      <c r="C318" s="21" t="e">
        <f>SUM(#REF!)</f>
        <v>#REF!</v>
      </c>
      <c r="D318" s="21" t="e">
        <f>SUM(#REF!)</f>
        <v>#REF!</v>
      </c>
      <c r="E318" s="21" t="e">
        <f>SUM(#REF!)</f>
        <v>#REF!</v>
      </c>
      <c r="F318" s="21" t="e">
        <f>SUM(#REF!)</f>
        <v>#REF!</v>
      </c>
      <c r="G318" s="21" t="e">
        <f>SUM(#REF!)</f>
        <v>#REF!</v>
      </c>
      <c r="H318" s="21" t="e">
        <f>SUM(#REF!)</f>
        <v>#REF!</v>
      </c>
      <c r="I318" s="21" t="e">
        <f>SUM(#REF!)</f>
        <v>#REF!</v>
      </c>
      <c r="J318" s="21" t="e">
        <f>SUM(#REF!)</f>
        <v>#REF!</v>
      </c>
      <c r="K318" s="21" t="e">
        <f>SUM(#REF!)</f>
        <v>#REF!</v>
      </c>
      <c r="L318" s="21" t="e">
        <f>SUM(#REF!)</f>
        <v>#REF!</v>
      </c>
      <c r="M318" s="21" t="e">
        <f>SUM(#REF!)</f>
        <v>#REF!</v>
      </c>
      <c r="N318" s="21" t="e">
        <f>SUM(#REF!)</f>
        <v>#REF!</v>
      </c>
      <c r="O318" s="21" t="e">
        <f>SUM(#REF!)</f>
        <v>#REF!</v>
      </c>
      <c r="P318" s="21" t="e">
        <f>SUM(#REF!)</f>
        <v>#REF!</v>
      </c>
      <c r="Q318" s="21" t="e">
        <f>SUM(#REF!)</f>
        <v>#REF!</v>
      </c>
      <c r="R318" s="21" t="e">
        <f>SUM(#REF!)</f>
        <v>#REF!</v>
      </c>
      <c r="S318" s="21" t="e">
        <f>SUM(#REF!)</f>
        <v>#REF!</v>
      </c>
      <c r="T318" s="36" t="s">
        <v>37</v>
      </c>
    </row>
    <row r="319" spans="1:20" ht="22.5" hidden="1" customHeight="1" x14ac:dyDescent="0.25">
      <c r="A319" s="36" t="s">
        <v>41</v>
      </c>
      <c r="B319" s="21" t="e">
        <f>SUM(#REF!)</f>
        <v>#REF!</v>
      </c>
      <c r="C319" s="21" t="e">
        <f>SUM(#REF!)</f>
        <v>#REF!</v>
      </c>
      <c r="D319" s="21" t="e">
        <f>SUM(#REF!)</f>
        <v>#REF!</v>
      </c>
      <c r="E319" s="21" t="e">
        <f>SUM(#REF!)</f>
        <v>#REF!</v>
      </c>
      <c r="F319" s="21" t="e">
        <f>SUM(#REF!)</f>
        <v>#REF!</v>
      </c>
      <c r="G319" s="21" t="e">
        <f>SUM(#REF!)</f>
        <v>#REF!</v>
      </c>
      <c r="H319" s="21" t="e">
        <f>SUM(#REF!)</f>
        <v>#REF!</v>
      </c>
      <c r="I319" s="21" t="e">
        <f>SUM(#REF!)</f>
        <v>#REF!</v>
      </c>
      <c r="J319" s="21" t="e">
        <f>SUM(#REF!)</f>
        <v>#REF!</v>
      </c>
      <c r="K319" s="21" t="e">
        <f>SUM(#REF!)</f>
        <v>#REF!</v>
      </c>
      <c r="L319" s="21" t="e">
        <f>SUM(#REF!)</f>
        <v>#REF!</v>
      </c>
      <c r="M319" s="21" t="e">
        <f>SUM(#REF!)</f>
        <v>#REF!</v>
      </c>
      <c r="N319" s="21" t="e">
        <f>SUM(#REF!)</f>
        <v>#REF!</v>
      </c>
      <c r="O319" s="21" t="e">
        <f>SUM(#REF!)</f>
        <v>#REF!</v>
      </c>
      <c r="P319" s="21" t="e">
        <f>SUM(#REF!)</f>
        <v>#REF!</v>
      </c>
      <c r="Q319" s="21" t="e">
        <f>SUM(#REF!)</f>
        <v>#REF!</v>
      </c>
      <c r="R319" s="21" t="e">
        <f>SUM(#REF!)</f>
        <v>#REF!</v>
      </c>
      <c r="S319" s="21" t="e">
        <f>SUM(#REF!)</f>
        <v>#REF!</v>
      </c>
      <c r="T319" s="36" t="s">
        <v>41</v>
      </c>
    </row>
    <row r="320" spans="1:20" ht="22.5" customHeight="1" x14ac:dyDescent="0.25">
      <c r="A320" s="36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36"/>
    </row>
    <row r="321" spans="1:20" ht="22.5" customHeight="1" x14ac:dyDescent="0.25">
      <c r="A321" s="36">
        <v>2014</v>
      </c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36">
        <v>2014</v>
      </c>
    </row>
    <row r="322" spans="1:20" ht="22.5" customHeight="1" x14ac:dyDescent="0.25">
      <c r="A322" s="36" t="s">
        <v>32</v>
      </c>
      <c r="B322" s="21">
        <f>SUM(B339:B341)</f>
        <v>82623</v>
      </c>
      <c r="C322" s="21">
        <f t="shared" ref="C322:S322" si="110">SUM(C339:C341)</f>
        <v>159811</v>
      </c>
      <c r="D322" s="21">
        <f t="shared" si="110"/>
        <v>242434</v>
      </c>
      <c r="E322" s="21">
        <f t="shared" si="110"/>
        <v>101014</v>
      </c>
      <c r="F322" s="21">
        <f t="shared" si="110"/>
        <v>0</v>
      </c>
      <c r="G322" s="21">
        <f t="shared" si="110"/>
        <v>101014</v>
      </c>
      <c r="H322" s="21">
        <f t="shared" si="110"/>
        <v>130525</v>
      </c>
      <c r="I322" s="21">
        <f t="shared" si="110"/>
        <v>0</v>
      </c>
      <c r="J322" s="21">
        <f t="shared" si="110"/>
        <v>130525</v>
      </c>
      <c r="K322" s="21">
        <f t="shared" si="110"/>
        <v>5452</v>
      </c>
      <c r="L322" s="21">
        <f t="shared" si="110"/>
        <v>479425</v>
      </c>
      <c r="M322" s="21">
        <f t="shared" si="110"/>
        <v>94923</v>
      </c>
      <c r="N322" s="21">
        <f t="shared" si="110"/>
        <v>0</v>
      </c>
      <c r="O322" s="21">
        <f t="shared" si="110"/>
        <v>22769</v>
      </c>
      <c r="P322" s="21">
        <f t="shared" si="110"/>
        <v>117692</v>
      </c>
      <c r="Q322" s="21">
        <f t="shared" si="110"/>
        <v>597117</v>
      </c>
      <c r="R322" s="21">
        <f t="shared" si="110"/>
        <v>797704</v>
      </c>
      <c r="S322" s="21">
        <f t="shared" si="110"/>
        <v>-200587</v>
      </c>
      <c r="T322" s="36" t="s">
        <v>32</v>
      </c>
    </row>
    <row r="323" spans="1:20" ht="22.5" customHeight="1" x14ac:dyDescent="0.25">
      <c r="A323" s="36" t="s">
        <v>35</v>
      </c>
      <c r="B323" s="21">
        <f>SUM(B342:B344)</f>
        <v>64138</v>
      </c>
      <c r="C323" s="21">
        <f t="shared" ref="C323:S323" si="111">SUM(C342:C344)</f>
        <v>146217</v>
      </c>
      <c r="D323" s="21">
        <f t="shared" si="111"/>
        <v>210355</v>
      </c>
      <c r="E323" s="21">
        <f t="shared" si="111"/>
        <v>98475</v>
      </c>
      <c r="F323" s="21">
        <f t="shared" si="111"/>
        <v>0</v>
      </c>
      <c r="G323" s="21">
        <f t="shared" si="111"/>
        <v>98475</v>
      </c>
      <c r="H323" s="21">
        <f t="shared" si="111"/>
        <v>153967</v>
      </c>
      <c r="I323" s="21">
        <f t="shared" si="111"/>
        <v>0</v>
      </c>
      <c r="J323" s="21">
        <f t="shared" si="111"/>
        <v>153967</v>
      </c>
      <c r="K323" s="21">
        <f t="shared" si="111"/>
        <v>5457</v>
      </c>
      <c r="L323" s="21">
        <f t="shared" si="111"/>
        <v>468254</v>
      </c>
      <c r="M323" s="21">
        <f t="shared" si="111"/>
        <v>84609</v>
      </c>
      <c r="N323" s="21">
        <f t="shared" si="111"/>
        <v>0</v>
      </c>
      <c r="O323" s="21">
        <f t="shared" si="111"/>
        <v>23612</v>
      </c>
      <c r="P323" s="21">
        <f t="shared" si="111"/>
        <v>108221</v>
      </c>
      <c r="Q323" s="21">
        <f t="shared" si="111"/>
        <v>576475</v>
      </c>
      <c r="R323" s="21">
        <f t="shared" si="111"/>
        <v>990992</v>
      </c>
      <c r="S323" s="21">
        <f t="shared" si="111"/>
        <v>-414517</v>
      </c>
      <c r="T323" s="36" t="s">
        <v>35</v>
      </c>
    </row>
    <row r="324" spans="1:20" ht="22.5" customHeight="1" x14ac:dyDescent="0.25">
      <c r="A324" s="36" t="s">
        <v>37</v>
      </c>
      <c r="B324" s="21">
        <f>SUM(B345:B347)</f>
        <v>60029</v>
      </c>
      <c r="C324" s="21">
        <f t="shared" ref="C324:S324" si="112">SUM(C345:C347)</f>
        <v>156692</v>
      </c>
      <c r="D324" s="21">
        <f t="shared" si="112"/>
        <v>216721</v>
      </c>
      <c r="E324" s="21">
        <f t="shared" si="112"/>
        <v>91960</v>
      </c>
      <c r="F324" s="21">
        <f t="shared" si="112"/>
        <v>0</v>
      </c>
      <c r="G324" s="21">
        <f t="shared" si="112"/>
        <v>91960</v>
      </c>
      <c r="H324" s="21">
        <f t="shared" si="112"/>
        <v>153372</v>
      </c>
      <c r="I324" s="21">
        <f t="shared" si="112"/>
        <v>0</v>
      </c>
      <c r="J324" s="21">
        <f t="shared" si="112"/>
        <v>153372</v>
      </c>
      <c r="K324" s="21">
        <f t="shared" si="112"/>
        <v>4803</v>
      </c>
      <c r="L324" s="21">
        <f t="shared" si="112"/>
        <v>466856</v>
      </c>
      <c r="M324" s="21">
        <f t="shared" si="112"/>
        <v>69646</v>
      </c>
      <c r="N324" s="21">
        <f t="shared" si="112"/>
        <v>0</v>
      </c>
      <c r="O324" s="21">
        <f t="shared" si="112"/>
        <v>20980</v>
      </c>
      <c r="P324" s="21">
        <f t="shared" si="112"/>
        <v>90626</v>
      </c>
      <c r="Q324" s="21">
        <f t="shared" si="112"/>
        <v>557482</v>
      </c>
      <c r="R324" s="21">
        <f t="shared" si="112"/>
        <v>1339865</v>
      </c>
      <c r="S324" s="21">
        <f t="shared" si="112"/>
        <v>-782383</v>
      </c>
      <c r="T324" s="36" t="s">
        <v>37</v>
      </c>
    </row>
    <row r="325" spans="1:20" ht="22.5" customHeight="1" x14ac:dyDescent="0.25">
      <c r="A325" s="36" t="s">
        <v>41</v>
      </c>
      <c r="B325" s="21">
        <f>SUM(B351:B353)</f>
        <v>68936</v>
      </c>
      <c r="C325" s="21">
        <f t="shared" ref="C325:S325" si="113">SUM(C351:C353)</f>
        <v>151853</v>
      </c>
      <c r="D325" s="21">
        <f t="shared" si="113"/>
        <v>220789</v>
      </c>
      <c r="E325" s="21">
        <f t="shared" si="113"/>
        <v>114573</v>
      </c>
      <c r="F325" s="21">
        <f t="shared" si="113"/>
        <v>0</v>
      </c>
      <c r="G325" s="21">
        <f t="shared" si="113"/>
        <v>114573</v>
      </c>
      <c r="H325" s="21">
        <f t="shared" si="113"/>
        <v>119047</v>
      </c>
      <c r="I325" s="21">
        <f t="shared" si="113"/>
        <v>0</v>
      </c>
      <c r="J325" s="21">
        <f t="shared" si="113"/>
        <v>119047</v>
      </c>
      <c r="K325" s="21">
        <f t="shared" si="113"/>
        <v>4811</v>
      </c>
      <c r="L325" s="21">
        <f t="shared" si="113"/>
        <v>459220</v>
      </c>
      <c r="M325" s="21">
        <f t="shared" si="113"/>
        <v>42237</v>
      </c>
      <c r="N325" s="21">
        <f t="shared" si="113"/>
        <v>0</v>
      </c>
      <c r="O325" s="21">
        <f t="shared" si="113"/>
        <v>21918</v>
      </c>
      <c r="P325" s="21">
        <f t="shared" si="113"/>
        <v>64155</v>
      </c>
      <c r="Q325" s="21">
        <f t="shared" si="113"/>
        <v>523375</v>
      </c>
      <c r="R325" s="21">
        <f t="shared" si="113"/>
        <v>822512</v>
      </c>
      <c r="S325" s="21">
        <f t="shared" si="113"/>
        <v>-299137</v>
      </c>
      <c r="T325" s="36" t="s">
        <v>41</v>
      </c>
    </row>
    <row r="326" spans="1:20" ht="22.5" customHeight="1" x14ac:dyDescent="0.25">
      <c r="A326" s="36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36"/>
    </row>
    <row r="327" spans="1:20" ht="22.5" customHeight="1" x14ac:dyDescent="0.25">
      <c r="A327" s="36">
        <v>2015</v>
      </c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36">
        <v>2015</v>
      </c>
    </row>
    <row r="328" spans="1:20" ht="22.5" customHeight="1" x14ac:dyDescent="0.25">
      <c r="A328" s="36" t="s">
        <v>32</v>
      </c>
      <c r="B328" s="21">
        <f>SUM(B356:B358)</f>
        <v>56071</v>
      </c>
      <c r="C328" s="21">
        <f t="shared" ref="C328:S328" si="114">SUM(C356:C358)</f>
        <v>168689</v>
      </c>
      <c r="D328" s="21">
        <f t="shared" si="114"/>
        <v>224760</v>
      </c>
      <c r="E328" s="21">
        <f t="shared" si="114"/>
        <v>131829</v>
      </c>
      <c r="F328" s="21">
        <f t="shared" si="114"/>
        <v>0</v>
      </c>
      <c r="G328" s="21">
        <f t="shared" si="114"/>
        <v>131829</v>
      </c>
      <c r="H328" s="21">
        <f t="shared" si="114"/>
        <v>147599</v>
      </c>
      <c r="I328" s="21">
        <f t="shared" si="114"/>
        <v>0</v>
      </c>
      <c r="J328" s="21">
        <f t="shared" si="114"/>
        <v>147599</v>
      </c>
      <c r="K328" s="21">
        <f t="shared" si="114"/>
        <v>5333</v>
      </c>
      <c r="L328" s="21">
        <f t="shared" si="114"/>
        <v>509521</v>
      </c>
      <c r="M328" s="21">
        <f t="shared" si="114"/>
        <v>39286</v>
      </c>
      <c r="N328" s="21">
        <f t="shared" si="114"/>
        <v>0</v>
      </c>
      <c r="O328" s="21">
        <f t="shared" si="114"/>
        <v>16453</v>
      </c>
      <c r="P328" s="21">
        <f t="shared" si="114"/>
        <v>55739</v>
      </c>
      <c r="Q328" s="21">
        <f t="shared" si="114"/>
        <v>565260</v>
      </c>
      <c r="R328" s="21">
        <f t="shared" si="114"/>
        <v>1250025</v>
      </c>
      <c r="S328" s="21">
        <f t="shared" si="114"/>
        <v>-684765</v>
      </c>
      <c r="T328" s="36" t="s">
        <v>32</v>
      </c>
    </row>
    <row r="329" spans="1:20" ht="22.5" customHeight="1" x14ac:dyDescent="0.25">
      <c r="A329" s="36" t="s">
        <v>35</v>
      </c>
      <c r="B329" s="21">
        <f>SUM(B359:B361)</f>
        <v>65879</v>
      </c>
      <c r="C329" s="21">
        <f t="shared" ref="C329:S329" si="115">SUM(C359:C361)</f>
        <v>152133</v>
      </c>
      <c r="D329" s="21">
        <f t="shared" si="115"/>
        <v>218012</v>
      </c>
      <c r="E329" s="21">
        <f t="shared" si="115"/>
        <v>106681</v>
      </c>
      <c r="F329" s="21">
        <f t="shared" si="115"/>
        <v>0</v>
      </c>
      <c r="G329" s="21">
        <f t="shared" si="115"/>
        <v>106681</v>
      </c>
      <c r="H329" s="21">
        <f t="shared" si="115"/>
        <v>183625</v>
      </c>
      <c r="I329" s="21">
        <f t="shared" si="115"/>
        <v>0</v>
      </c>
      <c r="J329" s="21">
        <f t="shared" si="115"/>
        <v>183625</v>
      </c>
      <c r="K329" s="21">
        <f t="shared" si="115"/>
        <v>7268</v>
      </c>
      <c r="L329" s="21">
        <f t="shared" si="115"/>
        <v>515586</v>
      </c>
      <c r="M329" s="21">
        <f t="shared" si="115"/>
        <v>46070</v>
      </c>
      <c r="N329" s="21">
        <f t="shared" si="115"/>
        <v>0</v>
      </c>
      <c r="O329" s="21">
        <f t="shared" si="115"/>
        <v>29978</v>
      </c>
      <c r="P329" s="21">
        <f t="shared" si="115"/>
        <v>76048</v>
      </c>
      <c r="Q329" s="21">
        <f t="shared" si="115"/>
        <v>591634</v>
      </c>
      <c r="R329" s="21">
        <f t="shared" si="115"/>
        <v>1034229</v>
      </c>
      <c r="S329" s="21">
        <f t="shared" si="115"/>
        <v>-442595</v>
      </c>
      <c r="T329" s="36" t="s">
        <v>35</v>
      </c>
    </row>
    <row r="330" spans="1:20" ht="22.5" customHeight="1" x14ac:dyDescent="0.25">
      <c r="A330" s="36" t="s">
        <v>37</v>
      </c>
      <c r="B330" s="21">
        <f>SUM(B362:B364)</f>
        <v>49865</v>
      </c>
      <c r="C330" s="21">
        <f t="shared" ref="C330:S330" si="116">SUM(C362:C364)</f>
        <v>143274</v>
      </c>
      <c r="D330" s="21">
        <f t="shared" si="116"/>
        <v>193139</v>
      </c>
      <c r="E330" s="21">
        <f t="shared" si="116"/>
        <v>89237</v>
      </c>
      <c r="F330" s="21">
        <f t="shared" si="116"/>
        <v>0</v>
      </c>
      <c r="G330" s="21">
        <f t="shared" si="116"/>
        <v>89237</v>
      </c>
      <c r="H330" s="21">
        <f t="shared" si="116"/>
        <v>169408</v>
      </c>
      <c r="I330" s="21">
        <f t="shared" si="116"/>
        <v>0</v>
      </c>
      <c r="J330" s="21">
        <f t="shared" si="116"/>
        <v>169408</v>
      </c>
      <c r="K330" s="21">
        <f t="shared" si="116"/>
        <v>5636</v>
      </c>
      <c r="L330" s="21">
        <f t="shared" si="116"/>
        <v>457420</v>
      </c>
      <c r="M330" s="21">
        <f t="shared" si="116"/>
        <v>43590</v>
      </c>
      <c r="N330" s="21">
        <f t="shared" si="116"/>
        <v>0</v>
      </c>
      <c r="O330" s="21">
        <f t="shared" si="116"/>
        <v>17527</v>
      </c>
      <c r="P330" s="21">
        <f t="shared" si="116"/>
        <v>61117</v>
      </c>
      <c r="Q330" s="21">
        <f t="shared" si="116"/>
        <v>518537</v>
      </c>
      <c r="R330" s="21">
        <f t="shared" si="116"/>
        <v>1179057</v>
      </c>
      <c r="S330" s="21">
        <f t="shared" si="116"/>
        <v>-660520</v>
      </c>
      <c r="T330" s="36" t="s">
        <v>37</v>
      </c>
    </row>
    <row r="331" spans="1:20" ht="22.5" customHeight="1" x14ac:dyDescent="0.25">
      <c r="A331" s="36" t="s">
        <v>41</v>
      </c>
      <c r="B331" s="21">
        <f>SUM(B365:B367)</f>
        <v>73705</v>
      </c>
      <c r="C331" s="21">
        <f t="shared" ref="C331:S331" si="117">SUM(C365:C367)</f>
        <v>192240</v>
      </c>
      <c r="D331" s="21">
        <f t="shared" si="117"/>
        <v>265945</v>
      </c>
      <c r="E331" s="21">
        <f t="shared" si="117"/>
        <v>103748</v>
      </c>
      <c r="F331" s="21">
        <f t="shared" si="117"/>
        <v>0</v>
      </c>
      <c r="G331" s="21">
        <f t="shared" si="117"/>
        <v>103748</v>
      </c>
      <c r="H331" s="21">
        <f t="shared" si="117"/>
        <v>182945</v>
      </c>
      <c r="I331" s="21">
        <f t="shared" si="117"/>
        <v>0</v>
      </c>
      <c r="J331" s="21">
        <f t="shared" si="117"/>
        <v>182945</v>
      </c>
      <c r="K331" s="21">
        <f t="shared" si="117"/>
        <v>11479</v>
      </c>
      <c r="L331" s="21">
        <f t="shared" si="117"/>
        <v>564117</v>
      </c>
      <c r="M331" s="21">
        <f t="shared" si="117"/>
        <v>52060</v>
      </c>
      <c r="N331" s="21">
        <f t="shared" si="117"/>
        <v>0</v>
      </c>
      <c r="O331" s="21">
        <f t="shared" si="117"/>
        <v>30751</v>
      </c>
      <c r="P331" s="21">
        <f t="shared" si="117"/>
        <v>82811</v>
      </c>
      <c r="Q331" s="21">
        <f t="shared" si="117"/>
        <v>646928</v>
      </c>
      <c r="R331" s="21">
        <f t="shared" si="117"/>
        <v>951431</v>
      </c>
      <c r="S331" s="21">
        <f t="shared" si="117"/>
        <v>-304503</v>
      </c>
      <c r="T331" s="36" t="s">
        <v>41</v>
      </c>
    </row>
    <row r="332" spans="1:20" ht="22.5" customHeight="1" x14ac:dyDescent="0.25">
      <c r="A332" s="36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36"/>
    </row>
    <row r="333" spans="1:20" ht="22.5" customHeight="1" x14ac:dyDescent="0.25">
      <c r="A333" s="36">
        <v>2016</v>
      </c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36">
        <v>2016</v>
      </c>
    </row>
    <row r="334" spans="1:20" ht="22.5" customHeight="1" x14ac:dyDescent="0.25">
      <c r="A334" s="36" t="s">
        <v>32</v>
      </c>
      <c r="B334" s="21">
        <f>SUM(B370:B372)</f>
        <v>54461</v>
      </c>
      <c r="C334" s="21">
        <f t="shared" ref="C334:S334" si="118">SUM(C370:C372)</f>
        <v>170102</v>
      </c>
      <c r="D334" s="21">
        <f t="shared" si="118"/>
        <v>224563</v>
      </c>
      <c r="E334" s="21">
        <f t="shared" si="118"/>
        <v>140332</v>
      </c>
      <c r="F334" s="21">
        <f t="shared" si="118"/>
        <v>0</v>
      </c>
      <c r="G334" s="21">
        <f t="shared" si="118"/>
        <v>140332</v>
      </c>
      <c r="H334" s="21">
        <f t="shared" si="118"/>
        <v>191549</v>
      </c>
      <c r="I334" s="21">
        <f t="shared" si="118"/>
        <v>0</v>
      </c>
      <c r="J334" s="21">
        <f t="shared" si="118"/>
        <v>191549</v>
      </c>
      <c r="K334" s="21">
        <f t="shared" si="118"/>
        <v>7415</v>
      </c>
      <c r="L334" s="21">
        <f t="shared" si="118"/>
        <v>563859</v>
      </c>
      <c r="M334" s="21">
        <f t="shared" si="118"/>
        <v>61156</v>
      </c>
      <c r="N334" s="21">
        <f t="shared" si="118"/>
        <v>0</v>
      </c>
      <c r="O334" s="21">
        <f t="shared" si="118"/>
        <v>23444</v>
      </c>
      <c r="P334" s="21">
        <f t="shared" si="118"/>
        <v>84600</v>
      </c>
      <c r="Q334" s="21">
        <f t="shared" si="118"/>
        <v>648459</v>
      </c>
      <c r="R334" s="21">
        <f t="shared" si="118"/>
        <v>1421033</v>
      </c>
      <c r="S334" s="21">
        <f t="shared" si="118"/>
        <v>-772574</v>
      </c>
      <c r="T334" s="36" t="s">
        <v>32</v>
      </c>
    </row>
    <row r="335" spans="1:20" ht="22.5" customHeight="1" x14ac:dyDescent="0.25">
      <c r="A335" s="36" t="s">
        <v>35</v>
      </c>
      <c r="B335" s="21">
        <f>SUM(B373:B375)</f>
        <v>95028</v>
      </c>
      <c r="C335" s="21">
        <f t="shared" ref="C335:S335" si="119">SUM(C373:C375)</f>
        <v>175657</v>
      </c>
      <c r="D335" s="21">
        <f t="shared" si="119"/>
        <v>270685</v>
      </c>
      <c r="E335" s="21">
        <f t="shared" si="119"/>
        <v>102778</v>
      </c>
      <c r="F335" s="21">
        <f t="shared" si="119"/>
        <v>0</v>
      </c>
      <c r="G335" s="21">
        <f t="shared" si="119"/>
        <v>102778</v>
      </c>
      <c r="H335" s="21">
        <f t="shared" si="119"/>
        <v>216703</v>
      </c>
      <c r="I335" s="21">
        <f t="shared" si="119"/>
        <v>0</v>
      </c>
      <c r="J335" s="21">
        <f t="shared" si="119"/>
        <v>216703</v>
      </c>
      <c r="K335" s="21">
        <f t="shared" si="119"/>
        <v>8652</v>
      </c>
      <c r="L335" s="21">
        <f t="shared" si="119"/>
        <v>598818</v>
      </c>
      <c r="M335" s="21">
        <f t="shared" si="119"/>
        <v>97771</v>
      </c>
      <c r="N335" s="21">
        <f t="shared" si="119"/>
        <v>0</v>
      </c>
      <c r="O335" s="21">
        <f t="shared" si="119"/>
        <v>25107</v>
      </c>
      <c r="P335" s="21">
        <f t="shared" si="119"/>
        <v>122878</v>
      </c>
      <c r="Q335" s="21">
        <f t="shared" si="119"/>
        <v>721696</v>
      </c>
      <c r="R335" s="21">
        <f t="shared" si="119"/>
        <v>1158777</v>
      </c>
      <c r="S335" s="21">
        <f t="shared" si="119"/>
        <v>-437081</v>
      </c>
      <c r="T335" s="36" t="s">
        <v>35</v>
      </c>
    </row>
    <row r="336" spans="1:20" ht="22.5" customHeight="1" x14ac:dyDescent="0.25">
      <c r="A336" s="36" t="s">
        <v>37</v>
      </c>
      <c r="B336" s="21">
        <f>SUM(B376:B378)</f>
        <v>78043</v>
      </c>
      <c r="C336" s="21">
        <f t="shared" ref="C336:S336" si="120">SUM(C376:C378)</f>
        <v>168132</v>
      </c>
      <c r="D336" s="21">
        <f t="shared" si="120"/>
        <v>246175</v>
      </c>
      <c r="E336" s="21">
        <f t="shared" si="120"/>
        <v>92262</v>
      </c>
      <c r="F336" s="21">
        <f t="shared" si="120"/>
        <v>741</v>
      </c>
      <c r="G336" s="21">
        <f t="shared" si="120"/>
        <v>93003</v>
      </c>
      <c r="H336" s="21">
        <f t="shared" si="120"/>
        <v>150508</v>
      </c>
      <c r="I336" s="21">
        <f t="shared" si="120"/>
        <v>0</v>
      </c>
      <c r="J336" s="21">
        <f t="shared" si="120"/>
        <v>150508</v>
      </c>
      <c r="K336" s="21">
        <f t="shared" si="120"/>
        <v>188371</v>
      </c>
      <c r="L336" s="21">
        <f t="shared" si="120"/>
        <v>678057</v>
      </c>
      <c r="M336" s="21">
        <f t="shared" si="120"/>
        <v>74182</v>
      </c>
      <c r="N336" s="21">
        <f t="shared" si="120"/>
        <v>0</v>
      </c>
      <c r="O336" s="21">
        <f t="shared" si="120"/>
        <v>26481</v>
      </c>
      <c r="P336" s="21">
        <f t="shared" si="120"/>
        <v>100663</v>
      </c>
      <c r="Q336" s="21">
        <f t="shared" si="120"/>
        <v>778720</v>
      </c>
      <c r="R336" s="21">
        <f t="shared" si="120"/>
        <v>1190622</v>
      </c>
      <c r="S336" s="21">
        <f t="shared" si="120"/>
        <v>-411902</v>
      </c>
      <c r="T336" s="36" t="s">
        <v>37</v>
      </c>
    </row>
    <row r="337" spans="1:20" ht="22.5" customHeight="1" x14ac:dyDescent="0.25">
      <c r="A337" s="36" t="s">
        <v>41</v>
      </c>
      <c r="B337" s="21">
        <f>SUM(B379:B381)</f>
        <v>96696</v>
      </c>
      <c r="C337" s="21">
        <f t="shared" ref="C337:S337" si="121">SUM(C379:C381)</f>
        <v>243456</v>
      </c>
      <c r="D337" s="21">
        <f t="shared" si="121"/>
        <v>340152</v>
      </c>
      <c r="E337" s="21">
        <f t="shared" si="121"/>
        <v>122434</v>
      </c>
      <c r="F337" s="21">
        <f t="shared" si="121"/>
        <v>4027</v>
      </c>
      <c r="G337" s="21">
        <f t="shared" si="121"/>
        <v>126461</v>
      </c>
      <c r="H337" s="21">
        <f t="shared" si="121"/>
        <v>187718</v>
      </c>
      <c r="I337" s="21">
        <f t="shared" si="121"/>
        <v>0</v>
      </c>
      <c r="J337" s="21">
        <f t="shared" si="121"/>
        <v>187718</v>
      </c>
      <c r="K337" s="21">
        <f t="shared" si="121"/>
        <v>4959</v>
      </c>
      <c r="L337" s="21">
        <f t="shared" si="121"/>
        <v>659290</v>
      </c>
      <c r="M337" s="21">
        <f t="shared" si="121"/>
        <v>57979</v>
      </c>
      <c r="N337" s="21">
        <f t="shared" si="121"/>
        <v>0</v>
      </c>
      <c r="O337" s="21">
        <f t="shared" si="121"/>
        <v>13997</v>
      </c>
      <c r="P337" s="21">
        <f t="shared" si="121"/>
        <v>71976</v>
      </c>
      <c r="Q337" s="21">
        <f t="shared" si="121"/>
        <v>731266</v>
      </c>
      <c r="R337" s="21">
        <f t="shared" si="121"/>
        <v>1670220</v>
      </c>
      <c r="S337" s="21">
        <f t="shared" si="121"/>
        <v>-938954</v>
      </c>
      <c r="T337" s="36" t="s">
        <v>41</v>
      </c>
    </row>
    <row r="338" spans="1:20" ht="27.95" hidden="1" customHeight="1" x14ac:dyDescent="0.25">
      <c r="A338" s="144">
        <v>2014</v>
      </c>
      <c r="D338" s="140"/>
      <c r="G338" s="140"/>
      <c r="I338" s="140"/>
      <c r="J338" s="140"/>
      <c r="L338" s="140"/>
      <c r="N338" s="140"/>
      <c r="P338" s="140"/>
      <c r="Q338" s="140"/>
      <c r="S338" s="29"/>
      <c r="T338" s="144">
        <v>2014</v>
      </c>
    </row>
    <row r="339" spans="1:20" ht="27.95" hidden="1" customHeight="1" x14ac:dyDescent="0.25">
      <c r="A339" s="86" t="s">
        <v>30</v>
      </c>
      <c r="B339" s="140">
        <v>14887</v>
      </c>
      <c r="C339" s="140">
        <v>54853</v>
      </c>
      <c r="D339" s="140">
        <f t="shared" ref="D339:D375" si="122">B339+C339</f>
        <v>69740</v>
      </c>
      <c r="E339" s="140">
        <f>20234+13867</f>
        <v>34101</v>
      </c>
      <c r="F339" s="29">
        <v>0</v>
      </c>
      <c r="G339" s="140">
        <f t="shared" ref="G339:G375" si="123">E339+F339</f>
        <v>34101</v>
      </c>
      <c r="H339" s="29">
        <f>26410+22485</f>
        <v>48895</v>
      </c>
      <c r="I339" s="140">
        <v>0</v>
      </c>
      <c r="J339" s="140">
        <f t="shared" ref="J339:J375" si="124">H339+I339</f>
        <v>48895</v>
      </c>
      <c r="K339" s="140">
        <f>1271+555</f>
        <v>1826</v>
      </c>
      <c r="L339" s="140">
        <f t="shared" ref="L339:L375" si="125">D339+G339+J339+K339</f>
        <v>154562</v>
      </c>
      <c r="M339" s="140">
        <f>20801+6686</f>
        <v>27487</v>
      </c>
      <c r="N339" s="140">
        <v>0</v>
      </c>
      <c r="O339" s="140">
        <v>9003</v>
      </c>
      <c r="P339" s="140">
        <f t="shared" ref="P339:P375" si="126">M339+N339+O339</f>
        <v>36490</v>
      </c>
      <c r="Q339" s="140">
        <f t="shared" ref="Q339:Q375" si="127">L339+P339</f>
        <v>191052</v>
      </c>
      <c r="R339" s="141">
        <v>311166</v>
      </c>
      <c r="S339" s="29">
        <f t="shared" ref="S339:S375" si="128">Q339-R339</f>
        <v>-120114</v>
      </c>
      <c r="T339" s="86" t="s">
        <v>30</v>
      </c>
    </row>
    <row r="340" spans="1:20" ht="27.95" hidden="1" customHeight="1" x14ac:dyDescent="0.25">
      <c r="A340" s="78" t="s">
        <v>31</v>
      </c>
      <c r="B340" s="140">
        <v>28059</v>
      </c>
      <c r="C340" s="140">
        <v>41515</v>
      </c>
      <c r="D340" s="140">
        <f t="shared" si="122"/>
        <v>69574</v>
      </c>
      <c r="E340" s="140">
        <f>10091+22336</f>
        <v>32427</v>
      </c>
      <c r="F340" s="29">
        <v>0</v>
      </c>
      <c r="G340" s="140">
        <f t="shared" si="123"/>
        <v>32427</v>
      </c>
      <c r="H340" s="29">
        <f>20143+17773</f>
        <v>37916</v>
      </c>
      <c r="I340" s="140">
        <v>0</v>
      </c>
      <c r="J340" s="140">
        <f t="shared" si="124"/>
        <v>37916</v>
      </c>
      <c r="K340" s="140">
        <f>942+617</f>
        <v>1559</v>
      </c>
      <c r="L340" s="140">
        <f t="shared" si="125"/>
        <v>141476</v>
      </c>
      <c r="M340" s="140">
        <f>28565+8981</f>
        <v>37546</v>
      </c>
      <c r="N340" s="140">
        <v>0</v>
      </c>
      <c r="O340" s="140">
        <v>3952</v>
      </c>
      <c r="P340" s="140">
        <f t="shared" si="126"/>
        <v>41498</v>
      </c>
      <c r="Q340" s="140">
        <f t="shared" si="127"/>
        <v>182974</v>
      </c>
      <c r="R340" s="141">
        <v>260380</v>
      </c>
      <c r="S340" s="29">
        <f t="shared" si="128"/>
        <v>-77406</v>
      </c>
      <c r="T340" s="78" t="s">
        <v>31</v>
      </c>
    </row>
    <row r="341" spans="1:20" ht="27.95" hidden="1" customHeight="1" x14ac:dyDescent="0.25">
      <c r="A341" s="78" t="s">
        <v>3</v>
      </c>
      <c r="B341" s="140">
        <v>39677</v>
      </c>
      <c r="C341" s="140">
        <v>63443</v>
      </c>
      <c r="D341" s="140">
        <f t="shared" si="122"/>
        <v>103120</v>
      </c>
      <c r="E341" s="140">
        <f>16307+18179</f>
        <v>34486</v>
      </c>
      <c r="F341" s="29">
        <v>0</v>
      </c>
      <c r="G341" s="140">
        <f t="shared" si="123"/>
        <v>34486</v>
      </c>
      <c r="H341" s="29">
        <f>22984+20730</f>
        <v>43714</v>
      </c>
      <c r="I341" s="140">
        <v>0</v>
      </c>
      <c r="J341" s="140">
        <f t="shared" si="124"/>
        <v>43714</v>
      </c>
      <c r="K341" s="140">
        <f>1812+255</f>
        <v>2067</v>
      </c>
      <c r="L341" s="140">
        <f t="shared" si="125"/>
        <v>183387</v>
      </c>
      <c r="M341" s="140">
        <f>21586+8304</f>
        <v>29890</v>
      </c>
      <c r="N341" s="140">
        <v>0</v>
      </c>
      <c r="O341" s="140">
        <v>9814</v>
      </c>
      <c r="P341" s="140">
        <f t="shared" si="126"/>
        <v>39704</v>
      </c>
      <c r="Q341" s="140">
        <f t="shared" si="127"/>
        <v>223091</v>
      </c>
      <c r="R341" s="141">
        <v>226158</v>
      </c>
      <c r="S341" s="29">
        <f t="shared" si="128"/>
        <v>-3067</v>
      </c>
      <c r="T341" s="78" t="s">
        <v>3</v>
      </c>
    </row>
    <row r="342" spans="1:20" ht="27.95" hidden="1" customHeight="1" x14ac:dyDescent="0.25">
      <c r="A342" s="86" t="s">
        <v>33</v>
      </c>
      <c r="B342" s="140">
        <v>19065</v>
      </c>
      <c r="C342" s="140">
        <v>41891</v>
      </c>
      <c r="D342" s="140">
        <f t="shared" si="122"/>
        <v>60956</v>
      </c>
      <c r="E342" s="140">
        <f>12688+20462</f>
        <v>33150</v>
      </c>
      <c r="F342" s="29">
        <v>0</v>
      </c>
      <c r="G342" s="140">
        <f t="shared" si="123"/>
        <v>33150</v>
      </c>
      <c r="H342" s="29">
        <f>21697+19714</f>
        <v>41411</v>
      </c>
      <c r="I342" s="140">
        <v>0</v>
      </c>
      <c r="J342" s="140">
        <f t="shared" si="124"/>
        <v>41411</v>
      </c>
      <c r="K342" s="140">
        <f>1095+303</f>
        <v>1398</v>
      </c>
      <c r="L342" s="140">
        <f t="shared" si="125"/>
        <v>136915</v>
      </c>
      <c r="M342" s="140">
        <f>15957+4419</f>
        <v>20376</v>
      </c>
      <c r="N342" s="140">
        <v>0</v>
      </c>
      <c r="O342" s="140">
        <v>7654</v>
      </c>
      <c r="P342" s="140">
        <f t="shared" si="126"/>
        <v>28030</v>
      </c>
      <c r="Q342" s="140">
        <f t="shared" si="127"/>
        <v>164945</v>
      </c>
      <c r="R342" s="141">
        <v>380598</v>
      </c>
      <c r="S342" s="29">
        <f t="shared" si="128"/>
        <v>-215653</v>
      </c>
      <c r="T342" s="86" t="s">
        <v>33</v>
      </c>
    </row>
    <row r="343" spans="1:20" ht="27.95" hidden="1" customHeight="1" x14ac:dyDescent="0.25">
      <c r="A343" s="78" t="s">
        <v>34</v>
      </c>
      <c r="B343" s="140">
        <v>20867</v>
      </c>
      <c r="C343" s="140">
        <v>64636</v>
      </c>
      <c r="D343" s="140">
        <f t="shared" si="122"/>
        <v>85503</v>
      </c>
      <c r="E343" s="140">
        <f>17468+17403</f>
        <v>34871</v>
      </c>
      <c r="F343" s="29">
        <v>0</v>
      </c>
      <c r="G343" s="140">
        <f t="shared" si="123"/>
        <v>34871</v>
      </c>
      <c r="H343" s="29">
        <f>24629+46512</f>
        <v>71141</v>
      </c>
      <c r="I343" s="140">
        <v>0</v>
      </c>
      <c r="J343" s="140">
        <f t="shared" si="124"/>
        <v>71141</v>
      </c>
      <c r="K343" s="140">
        <f>2044+504</f>
        <v>2548</v>
      </c>
      <c r="L343" s="140">
        <f t="shared" si="125"/>
        <v>194063</v>
      </c>
      <c r="M343" s="140">
        <f>20047+5823</f>
        <v>25870</v>
      </c>
      <c r="N343" s="140">
        <v>0</v>
      </c>
      <c r="O343" s="140">
        <v>6985</v>
      </c>
      <c r="P343" s="140">
        <f t="shared" si="126"/>
        <v>32855</v>
      </c>
      <c r="Q343" s="140">
        <f t="shared" si="127"/>
        <v>226918</v>
      </c>
      <c r="R343" s="141">
        <v>375551</v>
      </c>
      <c r="S343" s="29">
        <f t="shared" si="128"/>
        <v>-148633</v>
      </c>
      <c r="T343" s="78" t="s">
        <v>34</v>
      </c>
    </row>
    <row r="344" spans="1:20" ht="27.95" hidden="1" customHeight="1" x14ac:dyDescent="0.25">
      <c r="A344" s="78" t="s">
        <v>0</v>
      </c>
      <c r="B344" s="140">
        <v>24206</v>
      </c>
      <c r="C344" s="140">
        <v>39690</v>
      </c>
      <c r="D344" s="140">
        <f t="shared" si="122"/>
        <v>63896</v>
      </c>
      <c r="E344" s="140">
        <f>15550+14904</f>
        <v>30454</v>
      </c>
      <c r="F344" s="29">
        <v>0</v>
      </c>
      <c r="G344" s="140">
        <f t="shared" si="123"/>
        <v>30454</v>
      </c>
      <c r="H344" s="29">
        <f>21374+20041</f>
        <v>41415</v>
      </c>
      <c r="I344" s="140">
        <v>0</v>
      </c>
      <c r="J344" s="140">
        <f t="shared" si="124"/>
        <v>41415</v>
      </c>
      <c r="K344" s="140">
        <f>1283+228</f>
        <v>1511</v>
      </c>
      <c r="L344" s="140">
        <f t="shared" si="125"/>
        <v>137276</v>
      </c>
      <c r="M344" s="140">
        <f>26818+11545</f>
        <v>38363</v>
      </c>
      <c r="N344" s="140">
        <v>0</v>
      </c>
      <c r="O344" s="140">
        <v>8973</v>
      </c>
      <c r="P344" s="140">
        <f t="shared" si="126"/>
        <v>47336</v>
      </c>
      <c r="Q344" s="140">
        <f t="shared" si="127"/>
        <v>184612</v>
      </c>
      <c r="R344" s="141">
        <v>234843</v>
      </c>
      <c r="S344" s="29">
        <f t="shared" si="128"/>
        <v>-50231</v>
      </c>
      <c r="T344" s="78" t="s">
        <v>0</v>
      </c>
    </row>
    <row r="345" spans="1:20" ht="27.95" hidden="1" customHeight="1" x14ac:dyDescent="0.25">
      <c r="A345" s="86" t="s">
        <v>1</v>
      </c>
      <c r="B345" s="141">
        <v>13265</v>
      </c>
      <c r="C345" s="140">
        <v>55727</v>
      </c>
      <c r="D345" s="140">
        <f t="shared" si="122"/>
        <v>68992</v>
      </c>
      <c r="E345" s="140">
        <f>13522+16367</f>
        <v>29889</v>
      </c>
      <c r="F345" s="29">
        <v>0</v>
      </c>
      <c r="G345" s="140">
        <f t="shared" si="123"/>
        <v>29889</v>
      </c>
      <c r="H345" s="29">
        <f>25630+23616</f>
        <v>49246</v>
      </c>
      <c r="I345" s="140">
        <v>0</v>
      </c>
      <c r="J345" s="140">
        <f t="shared" si="124"/>
        <v>49246</v>
      </c>
      <c r="K345" s="140">
        <f>1592+677</f>
        <v>2269</v>
      </c>
      <c r="L345" s="140">
        <f t="shared" si="125"/>
        <v>150396</v>
      </c>
      <c r="M345" s="140">
        <f>21225+4226</f>
        <v>25451</v>
      </c>
      <c r="N345" s="140">
        <v>0</v>
      </c>
      <c r="O345" s="141">
        <v>4927</v>
      </c>
      <c r="P345" s="140">
        <f t="shared" si="126"/>
        <v>30378</v>
      </c>
      <c r="Q345" s="140">
        <f t="shared" si="127"/>
        <v>180774</v>
      </c>
      <c r="R345" s="141">
        <v>405531</v>
      </c>
      <c r="S345" s="29">
        <f t="shared" si="128"/>
        <v>-224757</v>
      </c>
      <c r="T345" s="86" t="s">
        <v>1</v>
      </c>
    </row>
    <row r="346" spans="1:20" ht="27.95" hidden="1" customHeight="1" x14ac:dyDescent="0.25">
      <c r="A346" s="78" t="s">
        <v>2</v>
      </c>
      <c r="B346" s="141">
        <v>28312</v>
      </c>
      <c r="C346" s="140">
        <v>43493</v>
      </c>
      <c r="D346" s="140">
        <f t="shared" si="122"/>
        <v>71805</v>
      </c>
      <c r="E346" s="140">
        <f>17995+15065</f>
        <v>33060</v>
      </c>
      <c r="F346" s="29">
        <v>0</v>
      </c>
      <c r="G346" s="140">
        <f t="shared" si="123"/>
        <v>33060</v>
      </c>
      <c r="H346" s="29">
        <f>27311+25209</f>
        <v>52520</v>
      </c>
      <c r="I346" s="140">
        <v>0</v>
      </c>
      <c r="J346" s="140">
        <f t="shared" si="124"/>
        <v>52520</v>
      </c>
      <c r="K346" s="140">
        <f>1084+568</f>
        <v>1652</v>
      </c>
      <c r="L346" s="140">
        <f t="shared" si="125"/>
        <v>159037</v>
      </c>
      <c r="M346" s="140">
        <f>22033+4650</f>
        <v>26683</v>
      </c>
      <c r="N346" s="140">
        <v>0</v>
      </c>
      <c r="O346" s="141">
        <v>4918</v>
      </c>
      <c r="P346" s="140">
        <f t="shared" si="126"/>
        <v>31601</v>
      </c>
      <c r="Q346" s="140">
        <f t="shared" si="127"/>
        <v>190638</v>
      </c>
      <c r="R346" s="141">
        <v>416092</v>
      </c>
      <c r="S346" s="29">
        <f t="shared" si="128"/>
        <v>-225454</v>
      </c>
      <c r="T346" s="78" t="s">
        <v>2</v>
      </c>
    </row>
    <row r="347" spans="1:20" ht="27.95" hidden="1" customHeight="1" x14ac:dyDescent="0.25">
      <c r="A347" s="78" t="s">
        <v>36</v>
      </c>
      <c r="B347" s="141">
        <v>18452</v>
      </c>
      <c r="C347" s="140">
        <v>57472</v>
      </c>
      <c r="D347" s="140">
        <f t="shared" si="122"/>
        <v>75924</v>
      </c>
      <c r="E347" s="140">
        <f>16524+12487</f>
        <v>29011</v>
      </c>
      <c r="F347" s="29">
        <v>0</v>
      </c>
      <c r="G347" s="140">
        <f t="shared" si="123"/>
        <v>29011</v>
      </c>
      <c r="H347" s="29">
        <f>21742+29864</f>
        <v>51606</v>
      </c>
      <c r="I347" s="140">
        <v>0</v>
      </c>
      <c r="J347" s="140">
        <f t="shared" si="124"/>
        <v>51606</v>
      </c>
      <c r="K347" s="140">
        <f>358+524</f>
        <v>882</v>
      </c>
      <c r="L347" s="140">
        <f t="shared" si="125"/>
        <v>157423</v>
      </c>
      <c r="M347" s="140">
        <f>13522+3990</f>
        <v>17512</v>
      </c>
      <c r="N347" s="140">
        <v>0</v>
      </c>
      <c r="O347" s="141">
        <v>11135</v>
      </c>
      <c r="P347" s="140">
        <f t="shared" si="126"/>
        <v>28647</v>
      </c>
      <c r="Q347" s="140">
        <f t="shared" si="127"/>
        <v>186070</v>
      </c>
      <c r="R347" s="141">
        <v>518242</v>
      </c>
      <c r="S347" s="29">
        <f t="shared" si="128"/>
        <v>-332172</v>
      </c>
      <c r="T347" s="78" t="s">
        <v>36</v>
      </c>
    </row>
    <row r="348" spans="1:20" ht="27.95" hidden="1" customHeight="1" x14ac:dyDescent="0.25">
      <c r="A348" s="86" t="s">
        <v>38</v>
      </c>
      <c r="B348" s="141">
        <v>18806</v>
      </c>
      <c r="C348" s="140">
        <v>49190</v>
      </c>
      <c r="D348" s="140">
        <f t="shared" si="122"/>
        <v>67996</v>
      </c>
      <c r="E348" s="140">
        <f>14388+12000</f>
        <v>26388</v>
      </c>
      <c r="F348" s="29">
        <v>0</v>
      </c>
      <c r="G348" s="140">
        <f t="shared" si="123"/>
        <v>26388</v>
      </c>
      <c r="H348" s="29">
        <f>22500+24309</f>
        <v>46809</v>
      </c>
      <c r="I348" s="140">
        <v>0</v>
      </c>
      <c r="J348" s="140">
        <f t="shared" si="124"/>
        <v>46809</v>
      </c>
      <c r="K348" s="140">
        <f>560+448</f>
        <v>1008</v>
      </c>
      <c r="L348" s="140">
        <f t="shared" si="125"/>
        <v>142201</v>
      </c>
      <c r="M348" s="140">
        <f>11462+4594</f>
        <v>16056</v>
      </c>
      <c r="N348" s="140">
        <v>0</v>
      </c>
      <c r="O348" s="141">
        <v>0</v>
      </c>
      <c r="P348" s="140">
        <f t="shared" si="126"/>
        <v>16056</v>
      </c>
      <c r="Q348" s="140">
        <f t="shared" si="127"/>
        <v>158257</v>
      </c>
      <c r="R348" s="141">
        <v>513812</v>
      </c>
      <c r="S348" s="29">
        <f t="shared" si="128"/>
        <v>-355555</v>
      </c>
      <c r="T348" s="86" t="s">
        <v>38</v>
      </c>
    </row>
    <row r="349" spans="1:20" ht="27.95" hidden="1" customHeight="1" x14ac:dyDescent="0.25">
      <c r="A349" s="78" t="s">
        <v>39</v>
      </c>
      <c r="B349" s="141">
        <v>20605</v>
      </c>
      <c r="C349" s="140">
        <v>45672</v>
      </c>
      <c r="D349" s="140">
        <f t="shared" si="122"/>
        <v>66277</v>
      </c>
      <c r="E349" s="140">
        <f>12010+12000</f>
        <v>24010</v>
      </c>
      <c r="F349" s="29">
        <v>0</v>
      </c>
      <c r="G349" s="140">
        <f t="shared" si="123"/>
        <v>24010</v>
      </c>
      <c r="H349" s="29">
        <f>22000+20000</f>
        <v>42000</v>
      </c>
      <c r="I349" s="140">
        <v>0</v>
      </c>
      <c r="J349" s="140">
        <f t="shared" si="124"/>
        <v>42000</v>
      </c>
      <c r="K349" s="140">
        <f>608+491</f>
        <v>1099</v>
      </c>
      <c r="L349" s="140">
        <f t="shared" si="125"/>
        <v>133386</v>
      </c>
      <c r="M349" s="140">
        <f>24436+7560</f>
        <v>31996</v>
      </c>
      <c r="N349" s="140">
        <v>0</v>
      </c>
      <c r="O349" s="141">
        <v>6130</v>
      </c>
      <c r="P349" s="140">
        <f t="shared" si="126"/>
        <v>38126</v>
      </c>
      <c r="Q349" s="140">
        <f t="shared" si="127"/>
        <v>171512</v>
      </c>
      <c r="R349" s="141">
        <v>352401</v>
      </c>
      <c r="S349" s="29">
        <f t="shared" si="128"/>
        <v>-180889</v>
      </c>
      <c r="T349" s="78" t="s">
        <v>39</v>
      </c>
    </row>
    <row r="350" spans="1:20" ht="27.95" hidden="1" customHeight="1" x14ac:dyDescent="0.25">
      <c r="A350" s="78" t="s">
        <v>40</v>
      </c>
      <c r="B350" s="141">
        <v>26047</v>
      </c>
      <c r="C350" s="140">
        <v>57734</v>
      </c>
      <c r="D350" s="140">
        <f t="shared" si="122"/>
        <v>83781</v>
      </c>
      <c r="E350" s="140">
        <f>12010+12000</f>
        <v>24010</v>
      </c>
      <c r="F350" s="29">
        <v>0</v>
      </c>
      <c r="G350" s="140">
        <f t="shared" si="123"/>
        <v>24010</v>
      </c>
      <c r="H350" s="29">
        <f>12010+20000</f>
        <v>32010</v>
      </c>
      <c r="I350" s="140">
        <v>0</v>
      </c>
      <c r="J350" s="140">
        <f t="shared" si="124"/>
        <v>32010</v>
      </c>
      <c r="K350" s="140">
        <f>886+621</f>
        <v>1507</v>
      </c>
      <c r="L350" s="140">
        <f t="shared" si="125"/>
        <v>141308</v>
      </c>
      <c r="M350" s="140">
        <f>23653+8895</f>
        <v>32548</v>
      </c>
      <c r="N350" s="140">
        <v>0</v>
      </c>
      <c r="O350" s="141">
        <v>6221</v>
      </c>
      <c r="P350" s="140">
        <f t="shared" si="126"/>
        <v>38769</v>
      </c>
      <c r="Q350" s="140">
        <f t="shared" si="127"/>
        <v>180077</v>
      </c>
      <c r="R350" s="141">
        <v>295374</v>
      </c>
      <c r="S350" s="29">
        <f t="shared" si="128"/>
        <v>-115297</v>
      </c>
      <c r="T350" s="78" t="s">
        <v>40</v>
      </c>
    </row>
    <row r="351" spans="1:20" ht="27.95" hidden="1" customHeight="1" x14ac:dyDescent="0.25">
      <c r="A351" s="78" t="s">
        <v>38</v>
      </c>
      <c r="B351" s="141">
        <v>22204</v>
      </c>
      <c r="C351" s="140">
        <v>55271</v>
      </c>
      <c r="D351" s="140">
        <f t="shared" si="122"/>
        <v>77475</v>
      </c>
      <c r="E351" s="140">
        <f>17733+19536</f>
        <v>37269</v>
      </c>
      <c r="F351" s="29">
        <v>0</v>
      </c>
      <c r="G351" s="140">
        <f t="shared" si="123"/>
        <v>37269</v>
      </c>
      <c r="H351" s="29">
        <f>21429+21694</f>
        <v>43123</v>
      </c>
      <c r="I351" s="140">
        <v>0</v>
      </c>
      <c r="J351" s="140">
        <f t="shared" si="124"/>
        <v>43123</v>
      </c>
      <c r="K351" s="140">
        <f>452+448</f>
        <v>900</v>
      </c>
      <c r="L351" s="140">
        <f t="shared" si="125"/>
        <v>158767</v>
      </c>
      <c r="M351" s="140">
        <f>10468+6122</f>
        <v>16590</v>
      </c>
      <c r="N351" s="140">
        <v>0</v>
      </c>
      <c r="O351" s="141">
        <v>6678</v>
      </c>
      <c r="P351" s="140">
        <f t="shared" si="126"/>
        <v>23268</v>
      </c>
      <c r="Q351" s="140">
        <f t="shared" si="127"/>
        <v>182035</v>
      </c>
      <c r="R351" s="141">
        <v>408933</v>
      </c>
      <c r="S351" s="29">
        <f t="shared" si="128"/>
        <v>-226898</v>
      </c>
      <c r="T351" s="78" t="s">
        <v>38</v>
      </c>
    </row>
    <row r="352" spans="1:20" ht="27.95" hidden="1" customHeight="1" x14ac:dyDescent="0.25">
      <c r="A352" s="78" t="s">
        <v>39</v>
      </c>
      <c r="B352" s="141">
        <v>18222</v>
      </c>
      <c r="C352" s="140">
        <v>43544</v>
      </c>
      <c r="D352" s="140">
        <f t="shared" si="122"/>
        <v>61766</v>
      </c>
      <c r="E352" s="140">
        <f>14466+15748</f>
        <v>30214</v>
      </c>
      <c r="F352" s="29">
        <v>0</v>
      </c>
      <c r="G352" s="140">
        <f t="shared" si="123"/>
        <v>30214</v>
      </c>
      <c r="H352" s="29">
        <f>18475+19388</f>
        <v>37863</v>
      </c>
      <c r="I352" s="140">
        <v>0</v>
      </c>
      <c r="J352" s="140">
        <f t="shared" si="124"/>
        <v>37863</v>
      </c>
      <c r="K352" s="140">
        <f>925+883</f>
        <v>1808</v>
      </c>
      <c r="L352" s="140">
        <f t="shared" si="125"/>
        <v>131651</v>
      </c>
      <c r="M352" s="140">
        <f>10436+6102</f>
        <v>16538</v>
      </c>
      <c r="N352" s="140">
        <v>0</v>
      </c>
      <c r="O352" s="141">
        <v>8585</v>
      </c>
      <c r="P352" s="140">
        <f t="shared" si="126"/>
        <v>25123</v>
      </c>
      <c r="Q352" s="140">
        <f t="shared" si="127"/>
        <v>156774</v>
      </c>
      <c r="R352" s="141">
        <v>226927</v>
      </c>
      <c r="S352" s="29">
        <f t="shared" si="128"/>
        <v>-70153</v>
      </c>
      <c r="T352" s="78" t="s">
        <v>39</v>
      </c>
    </row>
    <row r="353" spans="1:20" ht="27.95" hidden="1" customHeight="1" x14ac:dyDescent="0.25">
      <c r="A353" s="78" t="s">
        <v>40</v>
      </c>
      <c r="B353" s="141">
        <v>28510</v>
      </c>
      <c r="C353" s="140">
        <v>53038</v>
      </c>
      <c r="D353" s="140">
        <f t="shared" si="122"/>
        <v>81548</v>
      </c>
      <c r="E353" s="140">
        <f>20844+26246</f>
        <v>47090</v>
      </c>
      <c r="F353" s="29">
        <v>0</v>
      </c>
      <c r="G353" s="140">
        <f t="shared" si="123"/>
        <v>47090</v>
      </c>
      <c r="H353" s="29">
        <f>18259+19802</f>
        <v>38061</v>
      </c>
      <c r="I353" s="140">
        <v>0</v>
      </c>
      <c r="J353" s="140">
        <f t="shared" si="124"/>
        <v>38061</v>
      </c>
      <c r="K353" s="140">
        <f>728+1375</f>
        <v>2103</v>
      </c>
      <c r="L353" s="140">
        <f t="shared" si="125"/>
        <v>168802</v>
      </c>
      <c r="M353" s="140">
        <f>3746+5363</f>
        <v>9109</v>
      </c>
      <c r="N353" s="140">
        <v>0</v>
      </c>
      <c r="O353" s="141">
        <v>6655</v>
      </c>
      <c r="P353" s="140">
        <f t="shared" si="126"/>
        <v>15764</v>
      </c>
      <c r="Q353" s="140">
        <f t="shared" si="127"/>
        <v>184566</v>
      </c>
      <c r="R353" s="141">
        <v>186652</v>
      </c>
      <c r="S353" s="29">
        <f t="shared" si="128"/>
        <v>-2086</v>
      </c>
      <c r="T353" s="78" t="s">
        <v>40</v>
      </c>
    </row>
    <row r="354" spans="1:20" ht="27.95" customHeight="1" x14ac:dyDescent="0.25">
      <c r="A354" s="78"/>
      <c r="B354" s="141"/>
      <c r="C354" s="140"/>
      <c r="D354" s="140"/>
      <c r="E354" s="140"/>
      <c r="F354" s="29"/>
      <c r="G354" s="140"/>
      <c r="H354" s="29"/>
      <c r="I354" s="140"/>
      <c r="J354" s="140"/>
      <c r="K354" s="140"/>
      <c r="L354" s="140"/>
      <c r="M354" s="140"/>
      <c r="N354" s="140"/>
      <c r="O354" s="141"/>
      <c r="P354" s="140"/>
      <c r="Q354" s="140"/>
      <c r="R354" s="141"/>
      <c r="S354" s="29"/>
      <c r="T354" s="78"/>
    </row>
    <row r="355" spans="1:20" ht="27.95" customHeight="1" x14ac:dyDescent="0.25">
      <c r="A355" s="78">
        <v>2015</v>
      </c>
      <c r="B355" s="141"/>
      <c r="C355" s="140"/>
      <c r="D355" s="140"/>
      <c r="E355" s="140"/>
      <c r="F355" s="29"/>
      <c r="G355" s="140"/>
      <c r="H355" s="29"/>
      <c r="I355" s="140"/>
      <c r="J355" s="140"/>
      <c r="K355" s="140"/>
      <c r="L355" s="140"/>
      <c r="M355" s="140"/>
      <c r="N355" s="140"/>
      <c r="O355" s="141"/>
      <c r="P355" s="140"/>
      <c r="Q355" s="140"/>
      <c r="R355" s="141"/>
      <c r="S355" s="29"/>
      <c r="T355" s="78">
        <v>2015</v>
      </c>
    </row>
    <row r="356" spans="1:20" ht="27.75" customHeight="1" x14ac:dyDescent="0.25">
      <c r="A356" s="86" t="s">
        <v>30</v>
      </c>
      <c r="B356" s="141">
        <v>14743</v>
      </c>
      <c r="C356" s="140">
        <v>67658</v>
      </c>
      <c r="D356" s="140">
        <f t="shared" si="122"/>
        <v>82401</v>
      </c>
      <c r="E356" s="140">
        <f>21455+14245</f>
        <v>35700</v>
      </c>
      <c r="F356" s="29">
        <v>0</v>
      </c>
      <c r="G356" s="140">
        <f t="shared" si="123"/>
        <v>35700</v>
      </c>
      <c r="H356" s="29">
        <f>21941+28010</f>
        <v>49951</v>
      </c>
      <c r="I356" s="140">
        <v>0</v>
      </c>
      <c r="J356" s="140">
        <f t="shared" si="124"/>
        <v>49951</v>
      </c>
      <c r="K356" s="140">
        <f>1246+256</f>
        <v>1502</v>
      </c>
      <c r="L356" s="140">
        <f t="shared" si="125"/>
        <v>169554</v>
      </c>
      <c r="M356" s="140">
        <f>4732+6163</f>
        <v>10895</v>
      </c>
      <c r="N356" s="140">
        <v>0</v>
      </c>
      <c r="O356" s="141">
        <v>6392</v>
      </c>
      <c r="P356" s="140">
        <f t="shared" si="126"/>
        <v>17287</v>
      </c>
      <c r="Q356" s="140">
        <f t="shared" si="127"/>
        <v>186841</v>
      </c>
      <c r="R356" s="141">
        <v>268013</v>
      </c>
      <c r="S356" s="29">
        <f t="shared" si="128"/>
        <v>-81172</v>
      </c>
      <c r="T356" s="86" t="s">
        <v>30</v>
      </c>
    </row>
    <row r="357" spans="1:20" ht="27.75" customHeight="1" x14ac:dyDescent="0.25">
      <c r="A357" s="86" t="s">
        <v>31</v>
      </c>
      <c r="B357" s="141">
        <v>13229</v>
      </c>
      <c r="C357" s="140">
        <v>51312</v>
      </c>
      <c r="D357" s="140">
        <f t="shared" si="122"/>
        <v>64541</v>
      </c>
      <c r="E357" s="140">
        <f>31787+17681</f>
        <v>49468</v>
      </c>
      <c r="F357" s="29">
        <v>0</v>
      </c>
      <c r="G357" s="140">
        <f t="shared" si="123"/>
        <v>49468</v>
      </c>
      <c r="H357" s="29">
        <f>20994+23454</f>
        <v>44448</v>
      </c>
      <c r="I357" s="140">
        <v>0</v>
      </c>
      <c r="J357" s="140">
        <f t="shared" si="124"/>
        <v>44448</v>
      </c>
      <c r="K357" s="140">
        <f>1277+58</f>
        <v>1335</v>
      </c>
      <c r="L357" s="140">
        <f t="shared" si="125"/>
        <v>159792</v>
      </c>
      <c r="M357" s="140">
        <f>11436+7243</f>
        <v>18679</v>
      </c>
      <c r="N357" s="140">
        <v>0</v>
      </c>
      <c r="O357" s="141">
        <v>5927</v>
      </c>
      <c r="P357" s="140">
        <f t="shared" si="126"/>
        <v>24606</v>
      </c>
      <c r="Q357" s="140">
        <f t="shared" si="127"/>
        <v>184398</v>
      </c>
      <c r="R357" s="141">
        <v>488698</v>
      </c>
      <c r="S357" s="29">
        <f t="shared" si="128"/>
        <v>-304300</v>
      </c>
      <c r="T357" s="86" t="s">
        <v>31</v>
      </c>
    </row>
    <row r="358" spans="1:20" ht="27.75" customHeight="1" x14ac:dyDescent="0.25">
      <c r="A358" s="86" t="s">
        <v>3</v>
      </c>
      <c r="B358" s="141">
        <v>28099</v>
      </c>
      <c r="C358" s="140">
        <v>49719</v>
      </c>
      <c r="D358" s="140">
        <f t="shared" si="122"/>
        <v>77818</v>
      </c>
      <c r="E358" s="140">
        <f>21533+25128</f>
        <v>46661</v>
      </c>
      <c r="F358" s="29">
        <v>0</v>
      </c>
      <c r="G358" s="140">
        <f t="shared" si="123"/>
        <v>46661</v>
      </c>
      <c r="H358" s="29">
        <f>24623+28577</f>
        <v>53200</v>
      </c>
      <c r="I358" s="140">
        <v>0</v>
      </c>
      <c r="J358" s="140">
        <f t="shared" si="124"/>
        <v>53200</v>
      </c>
      <c r="K358" s="140">
        <f>1910+586</f>
        <v>2496</v>
      </c>
      <c r="L358" s="140">
        <f t="shared" si="125"/>
        <v>180175</v>
      </c>
      <c r="M358" s="140">
        <f>5707+4005</f>
        <v>9712</v>
      </c>
      <c r="N358" s="140">
        <v>0</v>
      </c>
      <c r="O358" s="141">
        <v>4134</v>
      </c>
      <c r="P358" s="140">
        <f t="shared" si="126"/>
        <v>13846</v>
      </c>
      <c r="Q358" s="140">
        <f t="shared" si="127"/>
        <v>194021</v>
      </c>
      <c r="R358" s="141">
        <v>493314</v>
      </c>
      <c r="S358" s="29">
        <f t="shared" si="128"/>
        <v>-299293</v>
      </c>
      <c r="T358" s="86" t="s">
        <v>3</v>
      </c>
    </row>
    <row r="359" spans="1:20" ht="27.75" customHeight="1" x14ac:dyDescent="0.25">
      <c r="A359" s="86" t="s">
        <v>33</v>
      </c>
      <c r="B359" s="141">
        <v>29261</v>
      </c>
      <c r="C359" s="140">
        <v>39593</v>
      </c>
      <c r="D359" s="140">
        <f t="shared" si="122"/>
        <v>68854</v>
      </c>
      <c r="E359" s="140">
        <f>16808+19715</f>
        <v>36523</v>
      </c>
      <c r="F359" s="29">
        <v>0</v>
      </c>
      <c r="G359" s="140">
        <f t="shared" si="123"/>
        <v>36523</v>
      </c>
      <c r="H359" s="29">
        <f>30268+33313</f>
        <v>63581</v>
      </c>
      <c r="I359" s="140">
        <v>0</v>
      </c>
      <c r="J359" s="140">
        <f t="shared" si="124"/>
        <v>63581</v>
      </c>
      <c r="K359" s="140">
        <f>2180+272</f>
        <v>2452</v>
      </c>
      <c r="L359" s="140">
        <f t="shared" si="125"/>
        <v>171410</v>
      </c>
      <c r="M359" s="140">
        <f>23116+5154-17809</f>
        <v>10461</v>
      </c>
      <c r="N359" s="140">
        <v>0</v>
      </c>
      <c r="O359" s="141">
        <v>12455</v>
      </c>
      <c r="P359" s="140">
        <f t="shared" si="126"/>
        <v>22916</v>
      </c>
      <c r="Q359" s="140">
        <f t="shared" si="127"/>
        <v>194326</v>
      </c>
      <c r="R359" s="141">
        <v>324500</v>
      </c>
      <c r="S359" s="29">
        <f t="shared" si="128"/>
        <v>-130174</v>
      </c>
      <c r="T359" s="86" t="s">
        <v>33</v>
      </c>
    </row>
    <row r="360" spans="1:20" ht="27.75" customHeight="1" x14ac:dyDescent="0.25">
      <c r="A360" s="86" t="s">
        <v>34</v>
      </c>
      <c r="B360" s="141">
        <v>20549</v>
      </c>
      <c r="C360" s="140">
        <v>59050</v>
      </c>
      <c r="D360" s="140">
        <f t="shared" si="122"/>
        <v>79599</v>
      </c>
      <c r="E360" s="140">
        <f>15834+19596</f>
        <v>35430</v>
      </c>
      <c r="F360" s="29">
        <v>0</v>
      </c>
      <c r="G360" s="140">
        <f t="shared" si="123"/>
        <v>35430</v>
      </c>
      <c r="H360" s="29">
        <f>27039+32278</f>
        <v>59317</v>
      </c>
      <c r="I360" s="140">
        <v>0</v>
      </c>
      <c r="J360" s="140">
        <f t="shared" si="124"/>
        <v>59317</v>
      </c>
      <c r="K360" s="140">
        <f>1907+452</f>
        <v>2359</v>
      </c>
      <c r="L360" s="140">
        <f t="shared" si="125"/>
        <v>176705</v>
      </c>
      <c r="M360" s="140">
        <f>6308+5811</f>
        <v>12119</v>
      </c>
      <c r="N360" s="140">
        <v>0</v>
      </c>
      <c r="O360" s="141">
        <v>6868</v>
      </c>
      <c r="P360" s="140">
        <f t="shared" si="126"/>
        <v>18987</v>
      </c>
      <c r="Q360" s="140">
        <f t="shared" si="127"/>
        <v>195692</v>
      </c>
      <c r="R360" s="141">
        <v>340613</v>
      </c>
      <c r="S360" s="29">
        <f t="shared" si="128"/>
        <v>-144921</v>
      </c>
      <c r="T360" s="86" t="s">
        <v>34</v>
      </c>
    </row>
    <row r="361" spans="1:20" ht="27.75" customHeight="1" x14ac:dyDescent="0.25">
      <c r="A361" s="86" t="s">
        <v>0</v>
      </c>
      <c r="B361" s="141">
        <v>16069</v>
      </c>
      <c r="C361" s="140">
        <v>53490</v>
      </c>
      <c r="D361" s="140">
        <f t="shared" si="122"/>
        <v>69559</v>
      </c>
      <c r="E361" s="140">
        <f>11397+23331</f>
        <v>34728</v>
      </c>
      <c r="F361" s="29">
        <v>0</v>
      </c>
      <c r="G361" s="140">
        <f t="shared" si="123"/>
        <v>34728</v>
      </c>
      <c r="H361" s="29">
        <f>28615+32112</f>
        <v>60727</v>
      </c>
      <c r="I361" s="140">
        <v>0</v>
      </c>
      <c r="J361" s="140">
        <f t="shared" si="124"/>
        <v>60727</v>
      </c>
      <c r="K361" s="140">
        <f>1681+776</f>
        <v>2457</v>
      </c>
      <c r="L361" s="140">
        <f t="shared" si="125"/>
        <v>167471</v>
      </c>
      <c r="M361" s="140">
        <f>9589+13901</f>
        <v>23490</v>
      </c>
      <c r="N361" s="140">
        <v>0</v>
      </c>
      <c r="O361" s="141">
        <v>10655</v>
      </c>
      <c r="P361" s="140">
        <f t="shared" si="126"/>
        <v>34145</v>
      </c>
      <c r="Q361" s="140">
        <f t="shared" si="127"/>
        <v>201616</v>
      </c>
      <c r="R361" s="141">
        <v>369116</v>
      </c>
      <c r="S361" s="29">
        <f t="shared" si="128"/>
        <v>-167500</v>
      </c>
      <c r="T361" s="86" t="s">
        <v>0</v>
      </c>
    </row>
    <row r="362" spans="1:20" ht="27.75" customHeight="1" x14ac:dyDescent="0.25">
      <c r="A362" s="86" t="s">
        <v>1</v>
      </c>
      <c r="B362" s="141">
        <v>19760</v>
      </c>
      <c r="C362" s="140">
        <v>47708</v>
      </c>
      <c r="D362" s="140">
        <f t="shared" si="122"/>
        <v>67468</v>
      </c>
      <c r="E362" s="140">
        <f>11173+20536</f>
        <v>31709</v>
      </c>
      <c r="F362" s="29">
        <v>0</v>
      </c>
      <c r="G362" s="140">
        <f t="shared" si="123"/>
        <v>31709</v>
      </c>
      <c r="H362" s="29">
        <f>30256+31293</f>
        <v>61549</v>
      </c>
      <c r="I362" s="140">
        <v>0</v>
      </c>
      <c r="J362" s="140">
        <f t="shared" si="124"/>
        <v>61549</v>
      </c>
      <c r="K362" s="140">
        <f>1282+320</f>
        <v>1602</v>
      </c>
      <c r="L362" s="140">
        <f t="shared" si="125"/>
        <v>162328</v>
      </c>
      <c r="M362" s="140">
        <f>6685+8350</f>
        <v>15035</v>
      </c>
      <c r="N362" s="140">
        <v>0</v>
      </c>
      <c r="O362" s="141">
        <v>12298</v>
      </c>
      <c r="P362" s="140">
        <f t="shared" si="126"/>
        <v>27333</v>
      </c>
      <c r="Q362" s="140">
        <f t="shared" si="127"/>
        <v>189661</v>
      </c>
      <c r="R362" s="141">
        <v>475195</v>
      </c>
      <c r="S362" s="29">
        <f t="shared" si="128"/>
        <v>-285534</v>
      </c>
      <c r="T362" s="86" t="s">
        <v>1</v>
      </c>
    </row>
    <row r="363" spans="1:20" ht="27.75" customHeight="1" x14ac:dyDescent="0.25">
      <c r="A363" s="86" t="s">
        <v>2</v>
      </c>
      <c r="B363" s="141">
        <v>12715</v>
      </c>
      <c r="C363" s="140">
        <v>39824</v>
      </c>
      <c r="D363" s="140">
        <f t="shared" si="122"/>
        <v>52539</v>
      </c>
      <c r="E363" s="140">
        <f>11985+18827</f>
        <v>30812</v>
      </c>
      <c r="F363" s="29">
        <v>0</v>
      </c>
      <c r="G363" s="140">
        <f t="shared" si="123"/>
        <v>30812</v>
      </c>
      <c r="H363" s="29">
        <f>26214+24581</f>
        <v>50795</v>
      </c>
      <c r="I363" s="140">
        <v>0</v>
      </c>
      <c r="J363" s="140">
        <f t="shared" si="124"/>
        <v>50795</v>
      </c>
      <c r="K363" s="140">
        <f>2068+443</f>
        <v>2511</v>
      </c>
      <c r="L363" s="140">
        <f t="shared" si="125"/>
        <v>136657</v>
      </c>
      <c r="M363" s="140">
        <f>7646+10773</f>
        <v>18419</v>
      </c>
      <c r="N363" s="140">
        <v>0</v>
      </c>
      <c r="O363" s="141">
        <v>5229</v>
      </c>
      <c r="P363" s="140">
        <f t="shared" si="126"/>
        <v>23648</v>
      </c>
      <c r="Q363" s="140">
        <f t="shared" si="127"/>
        <v>160305</v>
      </c>
      <c r="R363" s="141">
        <v>355693</v>
      </c>
      <c r="S363" s="29">
        <f t="shared" si="128"/>
        <v>-195388</v>
      </c>
      <c r="T363" s="86" t="s">
        <v>2</v>
      </c>
    </row>
    <row r="364" spans="1:20" ht="27.75" customHeight="1" x14ac:dyDescent="0.25">
      <c r="A364" s="86" t="s">
        <v>36</v>
      </c>
      <c r="B364" s="141">
        <v>17390</v>
      </c>
      <c r="C364" s="140">
        <v>55742</v>
      </c>
      <c r="D364" s="140">
        <f t="shared" si="122"/>
        <v>73132</v>
      </c>
      <c r="E364" s="140">
        <f>10296+16420</f>
        <v>26716</v>
      </c>
      <c r="F364" s="29">
        <v>0</v>
      </c>
      <c r="G364" s="140">
        <f t="shared" si="123"/>
        <v>26716</v>
      </c>
      <c r="H364" s="29">
        <f>26409+30655</f>
        <v>57064</v>
      </c>
      <c r="I364" s="140">
        <v>0</v>
      </c>
      <c r="J364" s="140">
        <f t="shared" si="124"/>
        <v>57064</v>
      </c>
      <c r="K364" s="140">
        <f>931+592</f>
        <v>1523</v>
      </c>
      <c r="L364" s="140">
        <f t="shared" si="125"/>
        <v>158435</v>
      </c>
      <c r="M364" s="140">
        <f>4795+5341</f>
        <v>10136</v>
      </c>
      <c r="N364" s="140">
        <v>0</v>
      </c>
      <c r="O364" s="141">
        <v>0</v>
      </c>
      <c r="P364" s="140">
        <f t="shared" si="126"/>
        <v>10136</v>
      </c>
      <c r="Q364" s="140">
        <f t="shared" si="127"/>
        <v>168571</v>
      </c>
      <c r="R364" s="141">
        <v>348169</v>
      </c>
      <c r="S364" s="29">
        <f t="shared" si="128"/>
        <v>-179598</v>
      </c>
      <c r="T364" s="86" t="s">
        <v>36</v>
      </c>
    </row>
    <row r="365" spans="1:20" ht="27.75" customHeight="1" x14ac:dyDescent="0.25">
      <c r="A365" s="86" t="s">
        <v>38</v>
      </c>
      <c r="B365" s="141">
        <v>11885</v>
      </c>
      <c r="C365" s="140">
        <v>42176</v>
      </c>
      <c r="D365" s="140">
        <f t="shared" si="122"/>
        <v>54061</v>
      </c>
      <c r="E365" s="140">
        <f>15294+24585</f>
        <v>39879</v>
      </c>
      <c r="F365" s="29">
        <v>0</v>
      </c>
      <c r="G365" s="140">
        <f t="shared" si="123"/>
        <v>39879</v>
      </c>
      <c r="H365" s="29">
        <f>27316+25056</f>
        <v>52372</v>
      </c>
      <c r="I365" s="140">
        <v>0</v>
      </c>
      <c r="J365" s="140">
        <f t="shared" si="124"/>
        <v>52372</v>
      </c>
      <c r="K365" s="140">
        <f>2734+748</f>
        <v>3482</v>
      </c>
      <c r="L365" s="140">
        <f t="shared" si="125"/>
        <v>149794</v>
      </c>
      <c r="M365" s="140">
        <f>10747+10981</f>
        <v>21728</v>
      </c>
      <c r="N365" s="140">
        <v>0</v>
      </c>
      <c r="O365" s="141">
        <v>7933</v>
      </c>
      <c r="P365" s="140">
        <f t="shared" si="126"/>
        <v>29661</v>
      </c>
      <c r="Q365" s="140">
        <f t="shared" si="127"/>
        <v>179455</v>
      </c>
      <c r="R365" s="141">
        <v>401180</v>
      </c>
      <c r="S365" s="29">
        <f t="shared" si="128"/>
        <v>-221725</v>
      </c>
      <c r="T365" s="86" t="s">
        <v>38</v>
      </c>
    </row>
    <row r="366" spans="1:20" ht="27.75" customHeight="1" x14ac:dyDescent="0.25">
      <c r="A366" s="86" t="s">
        <v>39</v>
      </c>
      <c r="B366" s="141">
        <v>25329</v>
      </c>
      <c r="C366" s="140">
        <v>49313</v>
      </c>
      <c r="D366" s="140">
        <f t="shared" si="122"/>
        <v>74642</v>
      </c>
      <c r="E366" s="140">
        <f>11964+16936</f>
        <v>28900</v>
      </c>
      <c r="F366" s="29">
        <v>0</v>
      </c>
      <c r="G366" s="140">
        <f t="shared" si="123"/>
        <v>28900</v>
      </c>
      <c r="H366" s="29">
        <f>31665+34414</f>
        <v>66079</v>
      </c>
      <c r="I366" s="140">
        <v>0</v>
      </c>
      <c r="J366" s="140">
        <f t="shared" si="124"/>
        <v>66079</v>
      </c>
      <c r="K366" s="140">
        <f>2994+1224</f>
        <v>4218</v>
      </c>
      <c r="L366" s="140">
        <f t="shared" si="125"/>
        <v>173839</v>
      </c>
      <c r="M366" s="140">
        <f>9052+6082</f>
        <v>15134</v>
      </c>
      <c r="N366" s="140">
        <v>0</v>
      </c>
      <c r="O366" s="141">
        <v>0</v>
      </c>
      <c r="P366" s="140">
        <f t="shared" si="126"/>
        <v>15134</v>
      </c>
      <c r="Q366" s="140">
        <f t="shared" si="127"/>
        <v>188973</v>
      </c>
      <c r="R366" s="141">
        <v>289336</v>
      </c>
      <c r="S366" s="29">
        <f t="shared" si="128"/>
        <v>-100363</v>
      </c>
      <c r="T366" s="86" t="s">
        <v>39</v>
      </c>
    </row>
    <row r="367" spans="1:20" ht="27.75" customHeight="1" x14ac:dyDescent="0.25">
      <c r="A367" s="86" t="s">
        <v>40</v>
      </c>
      <c r="B367" s="141">
        <v>36491</v>
      </c>
      <c r="C367" s="140">
        <v>100751</v>
      </c>
      <c r="D367" s="140">
        <f t="shared" si="122"/>
        <v>137242</v>
      </c>
      <c r="E367" s="140">
        <f>13557+21412</f>
        <v>34969</v>
      </c>
      <c r="F367" s="29">
        <v>0</v>
      </c>
      <c r="G367" s="140">
        <f t="shared" si="123"/>
        <v>34969</v>
      </c>
      <c r="H367" s="29">
        <f>34027+30467</f>
        <v>64494</v>
      </c>
      <c r="I367" s="140">
        <v>0</v>
      </c>
      <c r="J367" s="140">
        <f t="shared" si="124"/>
        <v>64494</v>
      </c>
      <c r="K367" s="140">
        <f>3151+628</f>
        <v>3779</v>
      </c>
      <c r="L367" s="140">
        <f t="shared" si="125"/>
        <v>240484</v>
      </c>
      <c r="M367" s="140">
        <f>10867+4331</f>
        <v>15198</v>
      </c>
      <c r="N367" s="140">
        <v>0</v>
      </c>
      <c r="O367" s="141">
        <v>22818</v>
      </c>
      <c r="P367" s="140">
        <f t="shared" si="126"/>
        <v>38016</v>
      </c>
      <c r="Q367" s="140">
        <f t="shared" si="127"/>
        <v>278500</v>
      </c>
      <c r="R367" s="141">
        <v>260915</v>
      </c>
      <c r="S367" s="29">
        <f t="shared" si="128"/>
        <v>17585</v>
      </c>
      <c r="T367" s="86" t="s">
        <v>40</v>
      </c>
    </row>
    <row r="368" spans="1:20" ht="27.75" customHeight="1" x14ac:dyDescent="0.2">
      <c r="D368" s="123"/>
      <c r="E368" s="123"/>
      <c r="F368" s="29"/>
      <c r="G368" s="123"/>
      <c r="H368" s="123"/>
      <c r="I368" s="123"/>
      <c r="J368" s="123"/>
      <c r="K368" s="123"/>
      <c r="L368" s="123"/>
      <c r="M368" s="123"/>
      <c r="S368" s="29">
        <f t="shared" si="128"/>
        <v>0</v>
      </c>
    </row>
    <row r="369" spans="1:20" ht="27.75" customHeight="1" x14ac:dyDescent="0.25">
      <c r="A369" s="76">
        <v>2016</v>
      </c>
      <c r="D369" s="123"/>
      <c r="E369" s="123"/>
      <c r="F369" s="29"/>
      <c r="G369" s="123"/>
      <c r="H369" s="123"/>
      <c r="I369" s="123"/>
      <c r="J369" s="123"/>
      <c r="K369" s="123"/>
      <c r="L369" s="123"/>
      <c r="M369" s="123"/>
      <c r="S369" s="29">
        <f t="shared" si="128"/>
        <v>0</v>
      </c>
      <c r="T369" s="76">
        <v>2016</v>
      </c>
    </row>
    <row r="370" spans="1:20" ht="27.75" customHeight="1" x14ac:dyDescent="0.25">
      <c r="A370" s="78" t="s">
        <v>30</v>
      </c>
      <c r="B370" s="141">
        <v>23834</v>
      </c>
      <c r="C370" s="141">
        <v>56167</v>
      </c>
      <c r="D370" s="140">
        <f t="shared" si="122"/>
        <v>80001</v>
      </c>
      <c r="E370" s="141">
        <f>21227+17370</f>
        <v>38597</v>
      </c>
      <c r="F370" s="29">
        <v>0</v>
      </c>
      <c r="G370" s="140">
        <f t="shared" si="123"/>
        <v>38597</v>
      </c>
      <c r="H370" s="141">
        <f>38045+33717</f>
        <v>71762</v>
      </c>
      <c r="I370" s="140">
        <v>0</v>
      </c>
      <c r="J370" s="140">
        <f t="shared" si="124"/>
        <v>71762</v>
      </c>
      <c r="K370" s="140">
        <f>1033+2800</f>
        <v>3833</v>
      </c>
      <c r="L370" s="140">
        <f t="shared" si="125"/>
        <v>194193</v>
      </c>
      <c r="M370" s="140">
        <f>4807+12155</f>
        <v>16962</v>
      </c>
      <c r="N370" s="140">
        <v>0</v>
      </c>
      <c r="O370" s="141">
        <v>3563</v>
      </c>
      <c r="P370" s="140">
        <f t="shared" si="126"/>
        <v>20525</v>
      </c>
      <c r="Q370" s="140">
        <f t="shared" si="127"/>
        <v>214718</v>
      </c>
      <c r="R370" s="141">
        <v>473628</v>
      </c>
      <c r="S370" s="29">
        <f t="shared" si="128"/>
        <v>-258910</v>
      </c>
      <c r="T370" s="78" t="s">
        <v>30</v>
      </c>
    </row>
    <row r="371" spans="1:20" ht="27.75" customHeight="1" x14ac:dyDescent="0.25">
      <c r="A371" s="78" t="s">
        <v>31</v>
      </c>
      <c r="B371" s="141">
        <v>15002</v>
      </c>
      <c r="C371" s="141">
        <v>52184</v>
      </c>
      <c r="D371" s="140">
        <f t="shared" si="122"/>
        <v>67186</v>
      </c>
      <c r="E371" s="141">
        <f>20498+13842</f>
        <v>34340</v>
      </c>
      <c r="F371" s="29">
        <v>0</v>
      </c>
      <c r="G371" s="140">
        <f t="shared" si="123"/>
        <v>34340</v>
      </c>
      <c r="H371" s="141">
        <f>32187+28654</f>
        <v>60841</v>
      </c>
      <c r="I371" s="140">
        <v>0</v>
      </c>
      <c r="J371" s="140">
        <f t="shared" si="124"/>
        <v>60841</v>
      </c>
      <c r="K371" s="140">
        <f>611+1343</f>
        <v>1954</v>
      </c>
      <c r="L371" s="140">
        <f t="shared" si="125"/>
        <v>164321</v>
      </c>
      <c r="M371" s="140">
        <f>2697+22966</f>
        <v>25663</v>
      </c>
      <c r="N371" s="140">
        <v>0</v>
      </c>
      <c r="O371" s="141">
        <v>7055</v>
      </c>
      <c r="P371" s="140">
        <f t="shared" si="126"/>
        <v>32718</v>
      </c>
      <c r="Q371" s="140">
        <f t="shared" si="127"/>
        <v>197039</v>
      </c>
      <c r="R371" s="141">
        <v>531286</v>
      </c>
      <c r="S371" s="29">
        <f t="shared" si="128"/>
        <v>-334247</v>
      </c>
      <c r="T371" s="78" t="s">
        <v>31</v>
      </c>
    </row>
    <row r="372" spans="1:20" ht="27.75" customHeight="1" x14ac:dyDescent="0.25">
      <c r="A372" s="78" t="s">
        <v>3</v>
      </c>
      <c r="B372" s="141">
        <v>15625</v>
      </c>
      <c r="C372" s="141">
        <v>61751</v>
      </c>
      <c r="D372" s="140">
        <f t="shared" si="122"/>
        <v>77376</v>
      </c>
      <c r="E372" s="141">
        <f>20658+46737</f>
        <v>67395</v>
      </c>
      <c r="F372" s="29">
        <v>0</v>
      </c>
      <c r="G372" s="140">
        <f t="shared" si="123"/>
        <v>67395</v>
      </c>
      <c r="H372" s="141">
        <f>31251+27695</f>
        <v>58946</v>
      </c>
      <c r="I372" s="140">
        <v>0</v>
      </c>
      <c r="J372" s="140">
        <f t="shared" si="124"/>
        <v>58946</v>
      </c>
      <c r="K372" s="140">
        <f>792+836</f>
        <v>1628</v>
      </c>
      <c r="L372" s="140">
        <f t="shared" si="125"/>
        <v>205345</v>
      </c>
      <c r="M372" s="140">
        <f>2650+15881</f>
        <v>18531</v>
      </c>
      <c r="N372" s="140">
        <v>0</v>
      </c>
      <c r="O372" s="141">
        <v>12826</v>
      </c>
      <c r="P372" s="140">
        <f t="shared" si="126"/>
        <v>31357</v>
      </c>
      <c r="Q372" s="140">
        <f t="shared" si="127"/>
        <v>236702</v>
      </c>
      <c r="R372" s="141">
        <v>416119</v>
      </c>
      <c r="S372" s="29">
        <f t="shared" si="128"/>
        <v>-179417</v>
      </c>
      <c r="T372" s="78" t="s">
        <v>3</v>
      </c>
    </row>
    <row r="373" spans="1:20" ht="27.75" customHeight="1" x14ac:dyDescent="0.25">
      <c r="A373" s="78" t="s">
        <v>33</v>
      </c>
      <c r="B373" s="141">
        <v>33431</v>
      </c>
      <c r="C373" s="141">
        <v>61091</v>
      </c>
      <c r="D373" s="140">
        <f t="shared" si="122"/>
        <v>94522</v>
      </c>
      <c r="E373" s="141">
        <f>23734+7636</f>
        <v>31370</v>
      </c>
      <c r="F373" s="29">
        <v>0</v>
      </c>
      <c r="G373" s="140">
        <f t="shared" si="123"/>
        <v>31370</v>
      </c>
      <c r="H373" s="141">
        <f>35146+40589</f>
        <v>75735</v>
      </c>
      <c r="I373" s="140">
        <v>0</v>
      </c>
      <c r="J373" s="140">
        <f t="shared" si="124"/>
        <v>75735</v>
      </c>
      <c r="K373" s="140">
        <f>422+2065</f>
        <v>2487</v>
      </c>
      <c r="L373" s="140">
        <f t="shared" si="125"/>
        <v>204114</v>
      </c>
      <c r="M373" s="140">
        <f>27380+5415</f>
        <v>32795</v>
      </c>
      <c r="N373" s="140">
        <v>0</v>
      </c>
      <c r="O373" s="141">
        <v>8767</v>
      </c>
      <c r="P373" s="140">
        <f t="shared" si="126"/>
        <v>41562</v>
      </c>
      <c r="Q373" s="140">
        <f t="shared" si="127"/>
        <v>245676</v>
      </c>
      <c r="R373" s="141">
        <v>323500</v>
      </c>
      <c r="S373" s="29">
        <f t="shared" si="128"/>
        <v>-77824</v>
      </c>
      <c r="T373" s="78" t="s">
        <v>33</v>
      </c>
    </row>
    <row r="374" spans="1:20" ht="27.75" customHeight="1" x14ac:dyDescent="0.25">
      <c r="A374" s="78" t="s">
        <v>34</v>
      </c>
      <c r="B374" s="141">
        <v>21300</v>
      </c>
      <c r="C374" s="141">
        <v>58378</v>
      </c>
      <c r="D374" s="140">
        <f t="shared" si="122"/>
        <v>79678</v>
      </c>
      <c r="E374" s="141">
        <f>25909+13042</f>
        <v>38951</v>
      </c>
      <c r="F374" s="29">
        <v>0</v>
      </c>
      <c r="G374" s="140">
        <f t="shared" si="123"/>
        <v>38951</v>
      </c>
      <c r="H374" s="141">
        <f>41249+35959</f>
        <v>77208</v>
      </c>
      <c r="I374" s="140">
        <v>0</v>
      </c>
      <c r="J374" s="140">
        <f t="shared" si="124"/>
        <v>77208</v>
      </c>
      <c r="K374" s="140">
        <f>662+2504</f>
        <v>3166</v>
      </c>
      <c r="L374" s="140">
        <f t="shared" si="125"/>
        <v>199003</v>
      </c>
      <c r="M374" s="140">
        <f>17335+11361</f>
        <v>28696</v>
      </c>
      <c r="N374" s="140">
        <v>0</v>
      </c>
      <c r="O374" s="141">
        <v>9401</v>
      </c>
      <c r="P374" s="140">
        <f t="shared" si="126"/>
        <v>38097</v>
      </c>
      <c r="Q374" s="140">
        <f t="shared" si="127"/>
        <v>237100</v>
      </c>
      <c r="R374" s="141">
        <v>460406</v>
      </c>
      <c r="S374" s="29">
        <f t="shared" si="128"/>
        <v>-223306</v>
      </c>
      <c r="T374" s="78" t="s">
        <v>34</v>
      </c>
    </row>
    <row r="375" spans="1:20" ht="27.75" customHeight="1" x14ac:dyDescent="0.25">
      <c r="A375" s="78" t="s">
        <v>0</v>
      </c>
      <c r="B375" s="141">
        <v>40297</v>
      </c>
      <c r="C375" s="141">
        <v>56188</v>
      </c>
      <c r="D375" s="140">
        <f t="shared" si="122"/>
        <v>96485</v>
      </c>
      <c r="E375" s="141">
        <f>23217+9240</f>
        <v>32457</v>
      </c>
      <c r="F375" s="29">
        <v>0</v>
      </c>
      <c r="G375" s="140">
        <f t="shared" si="123"/>
        <v>32457</v>
      </c>
      <c r="H375" s="141">
        <f>31296+32464</f>
        <v>63760</v>
      </c>
      <c r="I375" s="140">
        <v>0</v>
      </c>
      <c r="J375" s="140">
        <f t="shared" si="124"/>
        <v>63760</v>
      </c>
      <c r="K375" s="140">
        <f>655+2344</f>
        <v>2999</v>
      </c>
      <c r="L375" s="140">
        <f t="shared" si="125"/>
        <v>195701</v>
      </c>
      <c r="M375" s="140">
        <f>22619+13661</f>
        <v>36280</v>
      </c>
      <c r="N375" s="140">
        <v>0</v>
      </c>
      <c r="O375" s="141">
        <v>6939</v>
      </c>
      <c r="P375" s="140">
        <f t="shared" si="126"/>
        <v>43219</v>
      </c>
      <c r="Q375" s="140">
        <f t="shared" si="127"/>
        <v>238920</v>
      </c>
      <c r="R375" s="141">
        <v>374871</v>
      </c>
      <c r="S375" s="29">
        <f t="shared" si="128"/>
        <v>-135951</v>
      </c>
      <c r="T375" s="78" t="s">
        <v>0</v>
      </c>
    </row>
    <row r="376" spans="1:20" ht="27.75" customHeight="1" x14ac:dyDescent="0.25">
      <c r="A376" s="78" t="s">
        <v>1</v>
      </c>
      <c r="B376" s="141">
        <v>25924</v>
      </c>
      <c r="C376" s="141">
        <v>56427</v>
      </c>
      <c r="D376" s="140">
        <f t="shared" ref="D376:D381" si="129">B376+C376</f>
        <v>82351</v>
      </c>
      <c r="E376" s="141">
        <f>24909+6135</f>
        <v>31044</v>
      </c>
      <c r="F376" s="29">
        <v>0</v>
      </c>
      <c r="G376" s="140">
        <f t="shared" ref="G376:G381" si="130">E376+F376</f>
        <v>31044</v>
      </c>
      <c r="H376" s="141">
        <f>25306+29446</f>
        <v>54752</v>
      </c>
      <c r="I376" s="140">
        <v>0</v>
      </c>
      <c r="J376" s="140">
        <f t="shared" ref="J376:J381" si="131">H376+I376</f>
        <v>54752</v>
      </c>
      <c r="K376" s="141">
        <f>181768+2881</f>
        <v>184649</v>
      </c>
      <c r="L376" s="140">
        <f t="shared" ref="L376:L381" si="132">D376+G376+J376+K376</f>
        <v>352796</v>
      </c>
      <c r="M376" s="141">
        <f>13117+7083</f>
        <v>20200</v>
      </c>
      <c r="N376" s="140">
        <v>0</v>
      </c>
      <c r="O376" s="141">
        <v>11477</v>
      </c>
      <c r="P376" s="140">
        <f t="shared" ref="P376:P381" si="133">M376+N376+O376</f>
        <v>31677</v>
      </c>
      <c r="Q376" s="140">
        <f t="shared" ref="Q376:Q381" si="134">L376+P376</f>
        <v>384473</v>
      </c>
      <c r="R376" s="141">
        <v>355893</v>
      </c>
      <c r="S376" s="29">
        <f t="shared" ref="S376:S381" si="135">Q376-R376</f>
        <v>28580</v>
      </c>
      <c r="T376" s="78" t="s">
        <v>1</v>
      </c>
    </row>
    <row r="377" spans="1:20" ht="27.75" customHeight="1" x14ac:dyDescent="0.25">
      <c r="A377" s="78" t="s">
        <v>2</v>
      </c>
      <c r="B377" s="141">
        <v>21496</v>
      </c>
      <c r="C377" s="141">
        <v>65870</v>
      </c>
      <c r="D377" s="140">
        <f t="shared" si="129"/>
        <v>87366</v>
      </c>
      <c r="E377" s="141">
        <f>31963+5556</f>
        <v>37519</v>
      </c>
      <c r="F377" s="29">
        <v>0</v>
      </c>
      <c r="G377" s="140">
        <f t="shared" si="130"/>
        <v>37519</v>
      </c>
      <c r="H377" s="141">
        <f>20443+24985</f>
        <v>45428</v>
      </c>
      <c r="I377" s="140">
        <v>0</v>
      </c>
      <c r="J377" s="140">
        <f t="shared" si="131"/>
        <v>45428</v>
      </c>
      <c r="K377" s="141">
        <f>837+795</f>
        <v>1632</v>
      </c>
      <c r="L377" s="140">
        <f t="shared" si="132"/>
        <v>171945</v>
      </c>
      <c r="M377" s="141">
        <f>18948+14841</f>
        <v>33789</v>
      </c>
      <c r="N377" s="140">
        <v>0</v>
      </c>
      <c r="O377" s="141">
        <v>6641</v>
      </c>
      <c r="P377" s="140">
        <f t="shared" si="133"/>
        <v>40430</v>
      </c>
      <c r="Q377" s="140">
        <f t="shared" si="134"/>
        <v>212375</v>
      </c>
      <c r="R377" s="141">
        <v>474214</v>
      </c>
      <c r="S377" s="29">
        <f t="shared" si="135"/>
        <v>-261839</v>
      </c>
      <c r="T377" s="78" t="s">
        <v>2</v>
      </c>
    </row>
    <row r="378" spans="1:20" ht="27.75" customHeight="1" x14ac:dyDescent="0.25">
      <c r="A378" s="78" t="s">
        <v>36</v>
      </c>
      <c r="B378" s="141">
        <v>30623</v>
      </c>
      <c r="C378" s="141">
        <v>45835</v>
      </c>
      <c r="D378" s="140">
        <f t="shared" si="129"/>
        <v>76458</v>
      </c>
      <c r="E378" s="141">
        <f>18684+5015</f>
        <v>23699</v>
      </c>
      <c r="F378" s="29">
        <v>741</v>
      </c>
      <c r="G378" s="140">
        <f t="shared" si="130"/>
        <v>24440</v>
      </c>
      <c r="H378" s="141">
        <f>25105+25223</f>
        <v>50328</v>
      </c>
      <c r="I378" s="140">
        <v>0</v>
      </c>
      <c r="J378" s="140">
        <f t="shared" si="131"/>
        <v>50328</v>
      </c>
      <c r="K378" s="141">
        <f>557+1533</f>
        <v>2090</v>
      </c>
      <c r="L378" s="140">
        <f t="shared" si="132"/>
        <v>153316</v>
      </c>
      <c r="M378" s="141">
        <f>12989+7204</f>
        <v>20193</v>
      </c>
      <c r="N378" s="140">
        <v>0</v>
      </c>
      <c r="O378" s="141">
        <v>8363</v>
      </c>
      <c r="P378" s="140">
        <f t="shared" si="133"/>
        <v>28556</v>
      </c>
      <c r="Q378" s="140">
        <f t="shared" si="134"/>
        <v>181872</v>
      </c>
      <c r="R378" s="141">
        <v>360515</v>
      </c>
      <c r="S378" s="29">
        <f t="shared" si="135"/>
        <v>-178643</v>
      </c>
      <c r="T378" s="78" t="s">
        <v>36</v>
      </c>
    </row>
    <row r="379" spans="1:20" ht="27.75" customHeight="1" x14ac:dyDescent="0.25">
      <c r="A379" s="78" t="s">
        <v>38</v>
      </c>
      <c r="B379" s="141">
        <v>26458</v>
      </c>
      <c r="C379" s="141">
        <v>43553</v>
      </c>
      <c r="D379" s="140">
        <f t="shared" si="129"/>
        <v>70011</v>
      </c>
      <c r="E379" s="141">
        <f>21346+4956</f>
        <v>26302</v>
      </c>
      <c r="F379" s="29">
        <v>0</v>
      </c>
      <c r="G379" s="140">
        <f t="shared" si="130"/>
        <v>26302</v>
      </c>
      <c r="H379" s="141">
        <f>20696+25443</f>
        <v>46139</v>
      </c>
      <c r="I379" s="140">
        <v>0</v>
      </c>
      <c r="J379" s="140">
        <f t="shared" si="131"/>
        <v>46139</v>
      </c>
      <c r="K379" s="141">
        <f>641+345</f>
        <v>986</v>
      </c>
      <c r="L379" s="140">
        <f t="shared" si="132"/>
        <v>143438</v>
      </c>
      <c r="M379" s="141">
        <f>4702+9317</f>
        <v>14019</v>
      </c>
      <c r="N379" s="140">
        <v>0</v>
      </c>
      <c r="O379" s="141">
        <v>5935</v>
      </c>
      <c r="P379" s="140">
        <f t="shared" si="133"/>
        <v>19954</v>
      </c>
      <c r="Q379" s="140">
        <f t="shared" si="134"/>
        <v>163392</v>
      </c>
      <c r="R379" s="141">
        <v>757647</v>
      </c>
      <c r="S379" s="29">
        <f t="shared" si="135"/>
        <v>-594255</v>
      </c>
      <c r="T379" s="78" t="s">
        <v>38</v>
      </c>
    </row>
    <row r="380" spans="1:20" ht="27.75" customHeight="1" x14ac:dyDescent="0.25">
      <c r="A380" s="78" t="s">
        <v>39</v>
      </c>
      <c r="B380" s="141">
        <v>27539</v>
      </c>
      <c r="C380" s="141">
        <v>55046</v>
      </c>
      <c r="D380" s="140">
        <f t="shared" si="129"/>
        <v>82585</v>
      </c>
      <c r="E380" s="141">
        <f>28599+5558</f>
        <v>34157</v>
      </c>
      <c r="F380" s="29">
        <v>1071</v>
      </c>
      <c r="G380" s="140">
        <f t="shared" si="130"/>
        <v>35228</v>
      </c>
      <c r="H380" s="141">
        <f>34997+33652</f>
        <v>68649</v>
      </c>
      <c r="I380" s="140">
        <v>0</v>
      </c>
      <c r="J380" s="140">
        <f t="shared" si="131"/>
        <v>68649</v>
      </c>
      <c r="K380" s="141">
        <f>619+1251</f>
        <v>1870</v>
      </c>
      <c r="L380" s="140">
        <f t="shared" si="132"/>
        <v>188332</v>
      </c>
      <c r="M380" s="141">
        <f>11020+12839</f>
        <v>23859</v>
      </c>
      <c r="N380" s="140">
        <v>0</v>
      </c>
      <c r="O380" s="141">
        <v>2150</v>
      </c>
      <c r="P380" s="140">
        <f t="shared" si="133"/>
        <v>26009</v>
      </c>
      <c r="Q380" s="140">
        <f t="shared" si="134"/>
        <v>214341</v>
      </c>
      <c r="R380" s="141">
        <v>293153</v>
      </c>
      <c r="S380" s="29">
        <f t="shared" si="135"/>
        <v>-78812</v>
      </c>
      <c r="T380" s="78" t="s">
        <v>39</v>
      </c>
    </row>
    <row r="381" spans="1:20" ht="27.75" customHeight="1" x14ac:dyDescent="0.25">
      <c r="A381" s="78" t="s">
        <v>40</v>
      </c>
      <c r="B381" s="141">
        <v>42699</v>
      </c>
      <c r="C381" s="141">
        <v>144857</v>
      </c>
      <c r="D381" s="140">
        <f t="shared" si="129"/>
        <v>187556</v>
      </c>
      <c r="E381" s="141">
        <f>33815+28160</f>
        <v>61975</v>
      </c>
      <c r="F381" s="29">
        <v>2956</v>
      </c>
      <c r="G381" s="140">
        <f t="shared" si="130"/>
        <v>64931</v>
      </c>
      <c r="H381" s="141">
        <f>31841+41089</f>
        <v>72930</v>
      </c>
      <c r="I381" s="140">
        <v>0</v>
      </c>
      <c r="J381" s="140">
        <f t="shared" si="131"/>
        <v>72930</v>
      </c>
      <c r="K381" s="141">
        <f>600+1503</f>
        <v>2103</v>
      </c>
      <c r="L381" s="140">
        <f t="shared" si="132"/>
        <v>327520</v>
      </c>
      <c r="M381" s="141">
        <f>15333+4768</f>
        <v>20101</v>
      </c>
      <c r="N381" s="140">
        <v>0</v>
      </c>
      <c r="O381" s="141">
        <v>5912</v>
      </c>
      <c r="P381" s="140">
        <f t="shared" si="133"/>
        <v>26013</v>
      </c>
      <c r="Q381" s="140">
        <f t="shared" si="134"/>
        <v>353533</v>
      </c>
      <c r="R381" s="141">
        <v>619420</v>
      </c>
      <c r="S381" s="29">
        <f t="shared" si="135"/>
        <v>-265887</v>
      </c>
      <c r="T381" s="78" t="s">
        <v>40</v>
      </c>
    </row>
    <row r="382" spans="1:20" ht="27.75" customHeight="1" x14ac:dyDescent="0.2"/>
    <row r="383" spans="1:20" ht="27.75" customHeight="1" x14ac:dyDescent="0.2"/>
    <row r="384" spans="1:20" ht="27.75" customHeight="1" x14ac:dyDescent="0.2"/>
    <row r="385" ht="27.75" customHeight="1" x14ac:dyDescent="0.2"/>
    <row r="386" ht="27.75" customHeight="1" x14ac:dyDescent="0.2"/>
    <row r="387" ht="27.75" customHeight="1" x14ac:dyDescent="0.2"/>
    <row r="388" ht="27.75" customHeight="1" x14ac:dyDescent="0.2"/>
    <row r="389" ht="27.75" customHeight="1" x14ac:dyDescent="0.2"/>
    <row r="390" ht="27.75" customHeight="1" x14ac:dyDescent="0.2"/>
    <row r="391" ht="27.75" customHeight="1" x14ac:dyDescent="0.2"/>
    <row r="392" ht="27.75" customHeight="1" x14ac:dyDescent="0.2"/>
    <row r="393" ht="27.75" customHeight="1" x14ac:dyDescent="0.2"/>
  </sheetData>
  <mergeCells count="7">
    <mergeCell ref="B4:D4"/>
    <mergeCell ref="E4:G4"/>
    <mergeCell ref="H4:J4"/>
    <mergeCell ref="A1:T1"/>
    <mergeCell ref="A2:T2"/>
    <mergeCell ref="E3:G3"/>
    <mergeCell ref="H3:J3"/>
  </mergeCells>
  <phoneticPr fontId="0" type="noConversion"/>
  <pageMargins left="0.56000000000000005" right="0.18" top="0.17" bottom="0.18" header="0.21" footer="0.18"/>
  <pageSetup paperSize="9" scale="38" orientation="landscape" r:id="rId1"/>
  <headerFooter alignWithMargins="0">
    <oddFooter>&amp;L&amp;D   &amp;T&amp;R&amp;F</oddFooter>
  </headerFooter>
  <rowBreaks count="1" manualBreakCount="1">
    <brk id="193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364"/>
  <sheetViews>
    <sheetView zoomScale="75" workbookViewId="0">
      <pane xSplit="1" ySplit="21" topLeftCell="B22" activePane="bottomRight" state="frozen"/>
      <selection pane="topRight" activeCell="B1" sqref="B1"/>
      <selection pane="bottomLeft" activeCell="A22" sqref="A22"/>
      <selection pane="bottomRight" activeCell="D231" sqref="D231"/>
    </sheetView>
  </sheetViews>
  <sheetFormatPr defaultRowHeight="12.75" x14ac:dyDescent="0.2"/>
  <cols>
    <col min="1" max="1" width="20.7109375" style="64" customWidth="1"/>
    <col min="2" max="5" width="20.7109375" customWidth="1"/>
    <col min="6" max="6" width="20.7109375" style="64" customWidth="1"/>
  </cols>
  <sheetData>
    <row r="1" spans="1:8" ht="20.100000000000001" customHeight="1" x14ac:dyDescent="0.3">
      <c r="A1" s="154" t="s">
        <v>65</v>
      </c>
      <c r="B1" s="154"/>
      <c r="C1" s="154"/>
      <c r="D1" s="154"/>
      <c r="E1" s="154"/>
      <c r="F1" s="154"/>
    </row>
    <row r="2" spans="1:8" ht="20.100000000000001" customHeight="1" x14ac:dyDescent="0.3">
      <c r="A2" s="155" t="s">
        <v>42</v>
      </c>
      <c r="B2" s="155"/>
      <c r="C2" s="155"/>
      <c r="D2" s="155"/>
      <c r="E2" s="155"/>
      <c r="F2" s="155"/>
    </row>
    <row r="3" spans="1:8" ht="20.100000000000001" customHeight="1" thickBot="1" x14ac:dyDescent="0.25">
      <c r="A3" s="16"/>
      <c r="B3" s="16"/>
      <c r="C3" s="16"/>
      <c r="D3" s="16"/>
      <c r="E3" s="16"/>
      <c r="F3" s="16"/>
    </row>
    <row r="4" spans="1:8" s="64" customFormat="1" ht="20.100000000000001" customHeight="1" x14ac:dyDescent="0.25">
      <c r="A4" s="80">
        <v>1</v>
      </c>
      <c r="B4" s="80">
        <v>2</v>
      </c>
      <c r="C4" s="80">
        <v>3</v>
      </c>
      <c r="D4" s="80">
        <v>4</v>
      </c>
      <c r="E4" s="80">
        <v>5</v>
      </c>
      <c r="F4" s="80">
        <v>6</v>
      </c>
    </row>
    <row r="5" spans="1:8" s="64" customFormat="1" ht="20.100000000000001" customHeight="1" x14ac:dyDescent="0.25">
      <c r="A5" s="36" t="s">
        <v>43</v>
      </c>
      <c r="B5" s="36" t="s">
        <v>44</v>
      </c>
      <c r="C5" s="36" t="s">
        <v>45</v>
      </c>
      <c r="D5" s="36" t="s">
        <v>46</v>
      </c>
      <c r="E5" s="36" t="s">
        <v>7</v>
      </c>
      <c r="F5" s="36" t="s">
        <v>43</v>
      </c>
    </row>
    <row r="6" spans="1:8" s="64" customFormat="1" ht="20.100000000000001" customHeight="1" thickBot="1" x14ac:dyDescent="0.3">
      <c r="A6" s="73" t="s">
        <v>20</v>
      </c>
      <c r="B6" s="73" t="s">
        <v>47</v>
      </c>
      <c r="C6" s="73" t="s">
        <v>48</v>
      </c>
      <c r="D6" s="73" t="s">
        <v>18</v>
      </c>
      <c r="E6" s="73"/>
      <c r="F6" s="73" t="s">
        <v>20</v>
      </c>
    </row>
    <row r="7" spans="1:8" ht="15.75" x14ac:dyDescent="0.25">
      <c r="A7" s="75"/>
      <c r="B7" s="20"/>
      <c r="C7" s="20"/>
      <c r="D7" s="20"/>
      <c r="E7" s="20"/>
      <c r="F7" s="75"/>
      <c r="G7" s="48"/>
      <c r="H7" s="48"/>
    </row>
    <row r="8" spans="1:8" ht="15.75" hidden="1" x14ac:dyDescent="0.25">
      <c r="A8" s="81">
        <v>1989</v>
      </c>
      <c r="B8" s="26">
        <v>638</v>
      </c>
      <c r="C8" s="26">
        <v>553</v>
      </c>
      <c r="D8" s="26">
        <v>982</v>
      </c>
      <c r="E8" s="26">
        <v>2173</v>
      </c>
      <c r="F8" s="81">
        <v>1989</v>
      </c>
    </row>
    <row r="9" spans="1:8" ht="15.75" hidden="1" x14ac:dyDescent="0.25">
      <c r="A9" s="81">
        <v>1990</v>
      </c>
      <c r="B9" s="26">
        <v>1051</v>
      </c>
      <c r="C9" s="26">
        <v>1199</v>
      </c>
      <c r="D9" s="26">
        <v>1978</v>
      </c>
      <c r="E9" s="26">
        <v>4228</v>
      </c>
      <c r="F9" s="81">
        <v>1990</v>
      </c>
    </row>
    <row r="10" spans="1:8" ht="15.75" hidden="1" x14ac:dyDescent="0.25">
      <c r="A10" s="81">
        <v>1991</v>
      </c>
      <c r="B10" s="26">
        <v>860</v>
      </c>
      <c r="C10" s="26">
        <v>1698</v>
      </c>
      <c r="D10" s="26">
        <v>2270</v>
      </c>
      <c r="E10" s="26">
        <v>4828</v>
      </c>
      <c r="F10" s="81">
        <v>1991</v>
      </c>
    </row>
    <row r="11" spans="1:8" ht="15.75" hidden="1" x14ac:dyDescent="0.25">
      <c r="A11" s="81">
        <v>1992</v>
      </c>
      <c r="B11" s="26">
        <v>282</v>
      </c>
      <c r="C11" s="26">
        <v>2227</v>
      </c>
      <c r="D11" s="26">
        <v>1815</v>
      </c>
      <c r="E11" s="26">
        <v>4324</v>
      </c>
      <c r="F11" s="81">
        <v>1992</v>
      </c>
    </row>
    <row r="12" spans="1:8" ht="15.75" hidden="1" x14ac:dyDescent="0.25">
      <c r="A12" s="81">
        <v>1993</v>
      </c>
      <c r="B12" s="26">
        <v>440</v>
      </c>
      <c r="C12" s="26">
        <v>8436</v>
      </c>
      <c r="D12" s="26">
        <v>2196</v>
      </c>
      <c r="E12" s="26">
        <v>11072</v>
      </c>
      <c r="F12" s="81">
        <v>1993</v>
      </c>
    </row>
    <row r="13" spans="1:8" ht="15.75" hidden="1" x14ac:dyDescent="0.25">
      <c r="A13" s="81">
        <v>1994</v>
      </c>
      <c r="B13" s="26">
        <v>316</v>
      </c>
      <c r="C13" s="26">
        <v>9395</v>
      </c>
      <c r="D13" s="26">
        <v>2008</v>
      </c>
      <c r="E13" s="26">
        <v>11719</v>
      </c>
      <c r="F13" s="81">
        <v>1994</v>
      </c>
    </row>
    <row r="14" spans="1:8" ht="15.75" hidden="1" x14ac:dyDescent="0.25">
      <c r="A14" s="81">
        <v>1995</v>
      </c>
      <c r="B14" s="26">
        <v>6011</v>
      </c>
      <c r="C14" s="26">
        <v>11258</v>
      </c>
      <c r="D14" s="26">
        <v>1283</v>
      </c>
      <c r="E14" s="26">
        <v>18552</v>
      </c>
      <c r="F14" s="81">
        <v>1995</v>
      </c>
    </row>
    <row r="15" spans="1:8" ht="15.75" hidden="1" x14ac:dyDescent="0.25">
      <c r="A15" s="81">
        <v>1996</v>
      </c>
      <c r="B15" s="26">
        <v>6659</v>
      </c>
      <c r="C15" s="26">
        <v>16195</v>
      </c>
      <c r="D15" s="26">
        <v>4103</v>
      </c>
      <c r="E15" s="26">
        <v>26957</v>
      </c>
      <c r="F15" s="81">
        <v>1996</v>
      </c>
    </row>
    <row r="16" spans="1:8" ht="20.100000000000001" hidden="1" customHeight="1" x14ac:dyDescent="0.25">
      <c r="A16" s="81">
        <v>1997</v>
      </c>
      <c r="B16" s="39">
        <v>10105</v>
      </c>
      <c r="C16" s="26">
        <v>9740</v>
      </c>
      <c r="D16" s="26">
        <v>2195</v>
      </c>
      <c r="E16" s="26">
        <f>B16+C16+D16</f>
        <v>22040</v>
      </c>
      <c r="F16" s="81">
        <v>1997</v>
      </c>
    </row>
    <row r="17" spans="1:6" ht="20.100000000000001" hidden="1" customHeight="1" x14ac:dyDescent="0.25">
      <c r="A17" s="81">
        <v>1998</v>
      </c>
      <c r="B17" s="39">
        <v>16299</v>
      </c>
      <c r="C17" s="26">
        <v>40963</v>
      </c>
      <c r="D17" s="26">
        <v>7705</v>
      </c>
      <c r="E17" s="26">
        <f t="shared" ref="E17:E80" si="0">B17+C17+D17</f>
        <v>64967</v>
      </c>
      <c r="F17" s="81">
        <v>1998</v>
      </c>
    </row>
    <row r="18" spans="1:6" ht="20.100000000000001" hidden="1" customHeight="1" x14ac:dyDescent="0.25">
      <c r="A18" s="81">
        <v>1999</v>
      </c>
      <c r="B18" s="40">
        <v>18220</v>
      </c>
      <c r="C18" s="31">
        <v>74808</v>
      </c>
      <c r="D18" s="31">
        <v>7020</v>
      </c>
      <c r="E18" s="26">
        <f t="shared" si="0"/>
        <v>100048</v>
      </c>
      <c r="F18" s="81">
        <v>1999</v>
      </c>
    </row>
    <row r="19" spans="1:6" ht="20.100000000000001" hidden="1" customHeight="1" x14ac:dyDescent="0.25">
      <c r="A19" s="81">
        <v>2000</v>
      </c>
      <c r="B19" s="40">
        <v>3954</v>
      </c>
      <c r="C19" s="31">
        <v>71152</v>
      </c>
      <c r="D19" s="31">
        <v>19690</v>
      </c>
      <c r="E19" s="26">
        <f t="shared" si="0"/>
        <v>94796</v>
      </c>
      <c r="F19" s="81">
        <v>2000</v>
      </c>
    </row>
    <row r="20" spans="1:6" ht="20.100000000000001" hidden="1" customHeight="1" x14ac:dyDescent="0.25">
      <c r="A20" s="82" t="s">
        <v>53</v>
      </c>
      <c r="B20" s="40">
        <v>30175</v>
      </c>
      <c r="C20" s="31">
        <v>93053</v>
      </c>
      <c r="D20" s="31">
        <v>16126</v>
      </c>
      <c r="E20" s="26">
        <f t="shared" si="0"/>
        <v>139354</v>
      </c>
      <c r="F20" s="82" t="s">
        <v>53</v>
      </c>
    </row>
    <row r="21" spans="1:6" ht="20.100000000000001" hidden="1" customHeight="1" x14ac:dyDescent="0.25">
      <c r="A21" s="83" t="s">
        <v>55</v>
      </c>
      <c r="B21" s="41">
        <v>33597</v>
      </c>
      <c r="C21" s="21">
        <v>117347</v>
      </c>
      <c r="D21" s="21">
        <v>36702</v>
      </c>
      <c r="E21" s="26">
        <f t="shared" si="0"/>
        <v>187646</v>
      </c>
      <c r="F21" s="83" t="s">
        <v>55</v>
      </c>
    </row>
    <row r="22" spans="1:6" ht="20.100000000000001" customHeight="1" x14ac:dyDescent="0.25">
      <c r="A22" s="81">
        <v>2003</v>
      </c>
      <c r="B22" s="41">
        <v>65609</v>
      </c>
      <c r="C22" s="41">
        <v>113414</v>
      </c>
      <c r="D22" s="41">
        <v>52508</v>
      </c>
      <c r="E22" s="39">
        <f t="shared" si="0"/>
        <v>231531</v>
      </c>
      <c r="F22" s="83" t="s">
        <v>56</v>
      </c>
    </row>
    <row r="23" spans="1:6" ht="20.100000000000001" hidden="1" customHeight="1" x14ac:dyDescent="0.25">
      <c r="A23" s="36">
        <v>1998</v>
      </c>
      <c r="B23" s="27"/>
      <c r="C23" s="27"/>
      <c r="D23" s="27"/>
      <c r="E23" s="39">
        <f t="shared" si="0"/>
        <v>0</v>
      </c>
      <c r="F23" s="36">
        <v>1998</v>
      </c>
    </row>
    <row r="24" spans="1:6" ht="20.100000000000001" hidden="1" customHeight="1" x14ac:dyDescent="0.25">
      <c r="A24" s="84" t="s">
        <v>30</v>
      </c>
      <c r="B24" s="39">
        <v>8784</v>
      </c>
      <c r="C24" s="39">
        <v>10240</v>
      </c>
      <c r="D24" s="39">
        <v>3016</v>
      </c>
      <c r="E24" s="39">
        <f t="shared" si="0"/>
        <v>22040</v>
      </c>
      <c r="F24" s="84" t="s">
        <v>30</v>
      </c>
    </row>
    <row r="25" spans="1:6" ht="20.100000000000001" hidden="1" customHeight="1" x14ac:dyDescent="0.25">
      <c r="A25" s="84" t="s">
        <v>31</v>
      </c>
      <c r="B25" s="39">
        <v>7743</v>
      </c>
      <c r="C25" s="39">
        <v>12000</v>
      </c>
      <c r="D25" s="39">
        <v>2297</v>
      </c>
      <c r="E25" s="39">
        <f t="shared" si="0"/>
        <v>22040</v>
      </c>
      <c r="F25" s="84" t="s">
        <v>31</v>
      </c>
    </row>
    <row r="26" spans="1:6" ht="20.100000000000001" hidden="1" customHeight="1" x14ac:dyDescent="0.25">
      <c r="A26" s="84" t="s">
        <v>3</v>
      </c>
      <c r="B26" s="39">
        <v>13622</v>
      </c>
      <c r="C26" s="39">
        <v>7500</v>
      </c>
      <c r="D26" s="39">
        <v>918</v>
      </c>
      <c r="E26" s="39">
        <f t="shared" si="0"/>
        <v>22040</v>
      </c>
      <c r="F26" s="84" t="s">
        <v>3</v>
      </c>
    </row>
    <row r="27" spans="1:6" ht="20.100000000000001" hidden="1" customHeight="1" x14ac:dyDescent="0.25">
      <c r="A27" s="84" t="s">
        <v>33</v>
      </c>
      <c r="B27" s="39">
        <v>3063</v>
      </c>
      <c r="C27" s="39">
        <v>18738</v>
      </c>
      <c r="D27" s="39">
        <v>3081</v>
      </c>
      <c r="E27" s="39">
        <f t="shared" si="0"/>
        <v>24882</v>
      </c>
      <c r="F27" s="84" t="s">
        <v>33</v>
      </c>
    </row>
    <row r="28" spans="1:6" ht="20.100000000000001" hidden="1" customHeight="1" x14ac:dyDescent="0.25">
      <c r="A28" s="84" t="s">
        <v>34</v>
      </c>
      <c r="B28" s="39">
        <v>5529</v>
      </c>
      <c r="C28" s="39">
        <v>29733</v>
      </c>
      <c r="D28" s="39">
        <v>4756</v>
      </c>
      <c r="E28" s="39">
        <f t="shared" si="0"/>
        <v>40018</v>
      </c>
      <c r="F28" s="84" t="s">
        <v>34</v>
      </c>
    </row>
    <row r="29" spans="1:6" ht="20.100000000000001" hidden="1" customHeight="1" x14ac:dyDescent="0.25">
      <c r="A29" s="84" t="s">
        <v>0</v>
      </c>
      <c r="B29" s="39">
        <v>12863</v>
      </c>
      <c r="C29" s="39">
        <v>32904</v>
      </c>
      <c r="D29" s="39">
        <v>4792</v>
      </c>
      <c r="E29" s="39">
        <f t="shared" si="0"/>
        <v>50559</v>
      </c>
      <c r="F29" s="84" t="s">
        <v>0</v>
      </c>
    </row>
    <row r="30" spans="1:6" ht="20.100000000000001" hidden="1" customHeight="1" x14ac:dyDescent="0.25">
      <c r="A30" s="84" t="s">
        <v>1</v>
      </c>
      <c r="B30" s="39">
        <v>23286</v>
      </c>
      <c r="C30" s="39">
        <v>31090</v>
      </c>
      <c r="D30" s="39">
        <v>6472</v>
      </c>
      <c r="E30" s="39">
        <f t="shared" si="0"/>
        <v>60848</v>
      </c>
      <c r="F30" s="84" t="s">
        <v>1</v>
      </c>
    </row>
    <row r="31" spans="1:6" ht="20.100000000000001" hidden="1" customHeight="1" x14ac:dyDescent="0.25">
      <c r="A31" s="84" t="s">
        <v>2</v>
      </c>
      <c r="B31" s="39">
        <v>19809</v>
      </c>
      <c r="C31" s="39">
        <v>35470</v>
      </c>
      <c r="D31" s="39">
        <v>6171</v>
      </c>
      <c r="E31" s="39">
        <f t="shared" si="0"/>
        <v>61450</v>
      </c>
      <c r="F31" s="84" t="s">
        <v>2</v>
      </c>
    </row>
    <row r="32" spans="1:6" ht="20.100000000000001" hidden="1" customHeight="1" x14ac:dyDescent="0.25">
      <c r="A32" s="84" t="s">
        <v>36</v>
      </c>
      <c r="B32" s="39">
        <v>18474</v>
      </c>
      <c r="C32" s="39">
        <v>36471</v>
      </c>
      <c r="D32" s="39">
        <v>6505</v>
      </c>
      <c r="E32" s="39">
        <f t="shared" si="0"/>
        <v>61450</v>
      </c>
      <c r="F32" s="84" t="s">
        <v>36</v>
      </c>
    </row>
    <row r="33" spans="1:6" ht="20.100000000000001" hidden="1" customHeight="1" x14ac:dyDescent="0.25">
      <c r="A33" s="84" t="s">
        <v>38</v>
      </c>
      <c r="B33" s="39">
        <v>13110</v>
      </c>
      <c r="C33" s="39">
        <v>37346</v>
      </c>
      <c r="D33" s="39">
        <v>6508</v>
      </c>
      <c r="E33" s="39">
        <f t="shared" si="0"/>
        <v>56964</v>
      </c>
      <c r="F33" s="84" t="s">
        <v>38</v>
      </c>
    </row>
    <row r="34" spans="1:6" ht="20.100000000000001" hidden="1" customHeight="1" x14ac:dyDescent="0.25">
      <c r="A34" s="84" t="s">
        <v>39</v>
      </c>
      <c r="B34" s="39">
        <v>10857</v>
      </c>
      <c r="C34" s="39">
        <v>40221</v>
      </c>
      <c r="D34" s="39">
        <v>6771</v>
      </c>
      <c r="E34" s="39">
        <f t="shared" si="0"/>
        <v>57849</v>
      </c>
      <c r="F34" s="84" t="s">
        <v>39</v>
      </c>
    </row>
    <row r="35" spans="1:6" ht="20.100000000000001" hidden="1" customHeight="1" x14ac:dyDescent="0.25">
      <c r="A35" s="84" t="s">
        <v>40</v>
      </c>
      <c r="B35" s="39">
        <v>16299</v>
      </c>
      <c r="C35" s="39">
        <v>40963</v>
      </c>
      <c r="D35" s="39">
        <v>7705</v>
      </c>
      <c r="E35" s="39">
        <f t="shared" si="0"/>
        <v>64967</v>
      </c>
      <c r="F35" s="84" t="s">
        <v>40</v>
      </c>
    </row>
    <row r="36" spans="1:6" ht="20.100000000000001" hidden="1" customHeight="1" x14ac:dyDescent="0.25">
      <c r="A36" s="85"/>
      <c r="B36" s="40"/>
      <c r="C36" s="40"/>
      <c r="D36" s="40"/>
      <c r="E36" s="39">
        <f t="shared" si="0"/>
        <v>0</v>
      </c>
      <c r="F36" s="85"/>
    </row>
    <row r="37" spans="1:6" ht="20.100000000000001" hidden="1" customHeight="1" x14ac:dyDescent="0.25">
      <c r="A37" s="82" t="s">
        <v>49</v>
      </c>
      <c r="B37" s="39"/>
      <c r="C37" s="39"/>
      <c r="D37" s="39"/>
      <c r="E37" s="39">
        <f t="shared" si="0"/>
        <v>0</v>
      </c>
      <c r="F37" s="82" t="s">
        <v>49</v>
      </c>
    </row>
    <row r="38" spans="1:6" ht="20.100000000000001" hidden="1" customHeight="1" x14ac:dyDescent="0.25">
      <c r="A38" s="75" t="s">
        <v>30</v>
      </c>
      <c r="B38" s="39">
        <v>28346</v>
      </c>
      <c r="C38" s="39">
        <v>29325</v>
      </c>
      <c r="D38" s="39">
        <v>7297</v>
      </c>
      <c r="E38" s="39">
        <f t="shared" si="0"/>
        <v>64968</v>
      </c>
      <c r="F38" s="75" t="s">
        <v>30</v>
      </c>
    </row>
    <row r="39" spans="1:6" ht="20.100000000000001" hidden="1" customHeight="1" x14ac:dyDescent="0.25">
      <c r="A39" s="75" t="s">
        <v>31</v>
      </c>
      <c r="B39" s="39">
        <v>37870</v>
      </c>
      <c r="C39" s="39">
        <v>21050</v>
      </c>
      <c r="D39" s="39">
        <v>6048</v>
      </c>
      <c r="E39" s="39">
        <f t="shared" si="0"/>
        <v>64968</v>
      </c>
      <c r="F39" s="75" t="s">
        <v>31</v>
      </c>
    </row>
    <row r="40" spans="1:6" ht="20.100000000000001" hidden="1" customHeight="1" x14ac:dyDescent="0.25">
      <c r="A40" s="75" t="s">
        <v>3</v>
      </c>
      <c r="B40" s="39">
        <v>28776</v>
      </c>
      <c r="C40" s="39">
        <v>32520</v>
      </c>
      <c r="D40" s="39">
        <v>3672</v>
      </c>
      <c r="E40" s="39">
        <f t="shared" si="0"/>
        <v>64968</v>
      </c>
      <c r="F40" s="75" t="s">
        <v>3</v>
      </c>
    </row>
    <row r="41" spans="1:6" ht="20.100000000000001" hidden="1" customHeight="1" x14ac:dyDescent="0.25">
      <c r="A41" s="75" t="s">
        <v>33</v>
      </c>
      <c r="B41" s="40">
        <v>15606</v>
      </c>
      <c r="C41" s="40">
        <v>49943</v>
      </c>
      <c r="D41" s="40">
        <v>4650</v>
      </c>
      <c r="E41" s="39">
        <f t="shared" si="0"/>
        <v>70199</v>
      </c>
      <c r="F41" s="75" t="s">
        <v>33</v>
      </c>
    </row>
    <row r="42" spans="1:6" ht="20.100000000000001" hidden="1" customHeight="1" x14ac:dyDescent="0.25">
      <c r="A42" s="75" t="s">
        <v>34</v>
      </c>
      <c r="B42" s="39">
        <v>9403</v>
      </c>
      <c r="C42" s="39">
        <v>56288</v>
      </c>
      <c r="D42" s="39">
        <v>6734</v>
      </c>
      <c r="E42" s="39">
        <f t="shared" si="0"/>
        <v>72425</v>
      </c>
      <c r="F42" s="75" t="s">
        <v>34</v>
      </c>
    </row>
    <row r="43" spans="1:6" ht="20.100000000000001" hidden="1" customHeight="1" x14ac:dyDescent="0.25">
      <c r="A43" s="75" t="s">
        <v>0</v>
      </c>
      <c r="B43" s="39">
        <v>13302</v>
      </c>
      <c r="C43" s="39">
        <v>60047</v>
      </c>
      <c r="D43" s="39">
        <v>7157</v>
      </c>
      <c r="E43" s="39">
        <f t="shared" si="0"/>
        <v>80506</v>
      </c>
      <c r="F43" s="75" t="s">
        <v>0</v>
      </c>
    </row>
    <row r="44" spans="1:6" ht="20.100000000000001" hidden="1" customHeight="1" x14ac:dyDescent="0.25">
      <c r="A44" s="75" t="s">
        <v>1</v>
      </c>
      <c r="B44" s="39">
        <v>16938</v>
      </c>
      <c r="C44" s="39">
        <v>66421</v>
      </c>
      <c r="D44" s="39">
        <v>3204</v>
      </c>
      <c r="E44" s="39">
        <f t="shared" si="0"/>
        <v>86563</v>
      </c>
      <c r="F44" s="75" t="s">
        <v>1</v>
      </c>
    </row>
    <row r="45" spans="1:6" ht="20.100000000000001" hidden="1" customHeight="1" x14ac:dyDescent="0.25">
      <c r="A45" s="75" t="s">
        <v>2</v>
      </c>
      <c r="B45" s="39">
        <v>20937</v>
      </c>
      <c r="C45" s="39">
        <v>66586</v>
      </c>
      <c r="D45" s="39">
        <v>5459</v>
      </c>
      <c r="E45" s="39">
        <f t="shared" si="0"/>
        <v>92982</v>
      </c>
      <c r="F45" s="75" t="s">
        <v>2</v>
      </c>
    </row>
    <row r="46" spans="1:6" ht="20.100000000000001" hidden="1" customHeight="1" x14ac:dyDescent="0.25">
      <c r="A46" s="75" t="s">
        <v>36</v>
      </c>
      <c r="B46" s="40">
        <v>12703</v>
      </c>
      <c r="C46" s="40">
        <v>74209</v>
      </c>
      <c r="D46" s="40">
        <v>6096</v>
      </c>
      <c r="E46" s="39">
        <f t="shared" si="0"/>
        <v>93008</v>
      </c>
      <c r="F46" s="75" t="s">
        <v>36</v>
      </c>
    </row>
    <row r="47" spans="1:6" ht="20.100000000000001" hidden="1" customHeight="1" x14ac:dyDescent="0.25">
      <c r="A47" s="75" t="s">
        <v>38</v>
      </c>
      <c r="B47" s="40">
        <v>13300</v>
      </c>
      <c r="C47" s="40">
        <v>78193</v>
      </c>
      <c r="D47" s="40">
        <v>6515</v>
      </c>
      <c r="E47" s="39">
        <f t="shared" si="0"/>
        <v>98008</v>
      </c>
      <c r="F47" s="75" t="s">
        <v>38</v>
      </c>
    </row>
    <row r="48" spans="1:6" ht="20.100000000000001" hidden="1" customHeight="1" x14ac:dyDescent="0.25">
      <c r="A48" s="78" t="s">
        <v>39</v>
      </c>
      <c r="B48" s="40">
        <v>14329</v>
      </c>
      <c r="C48" s="40">
        <v>77810</v>
      </c>
      <c r="D48" s="40">
        <v>6498</v>
      </c>
      <c r="E48" s="39">
        <f t="shared" si="0"/>
        <v>98637</v>
      </c>
      <c r="F48" s="78" t="s">
        <v>39</v>
      </c>
    </row>
    <row r="49" spans="1:6" ht="20.100000000000001" hidden="1" customHeight="1" x14ac:dyDescent="0.25">
      <c r="A49" s="78" t="s">
        <v>40</v>
      </c>
      <c r="B49" s="40">
        <v>18220</v>
      </c>
      <c r="C49" s="40">
        <v>74808</v>
      </c>
      <c r="D49" s="40">
        <v>7020</v>
      </c>
      <c r="E49" s="39">
        <f t="shared" si="0"/>
        <v>100048</v>
      </c>
      <c r="F49" s="78" t="s">
        <v>40</v>
      </c>
    </row>
    <row r="50" spans="1:6" ht="20.100000000000001" customHeight="1" x14ac:dyDescent="0.25">
      <c r="A50" s="82" t="s">
        <v>61</v>
      </c>
      <c r="B50" s="40">
        <f>B127</f>
        <v>76015</v>
      </c>
      <c r="C50" s="40">
        <f>C127</f>
        <v>145690</v>
      </c>
      <c r="D50" s="40">
        <f>D127</f>
        <v>82742</v>
      </c>
      <c r="E50" s="39">
        <f t="shared" si="0"/>
        <v>304447</v>
      </c>
      <c r="F50" s="82" t="s">
        <v>61</v>
      </c>
    </row>
    <row r="51" spans="1:6" ht="20.100000000000001" customHeight="1" x14ac:dyDescent="0.25">
      <c r="A51" s="82" t="s">
        <v>62</v>
      </c>
      <c r="B51" s="41">
        <v>33095</v>
      </c>
      <c r="C51" s="41">
        <v>198215</v>
      </c>
      <c r="D51" s="41">
        <v>144134</v>
      </c>
      <c r="E51" s="39">
        <f t="shared" si="0"/>
        <v>375444</v>
      </c>
      <c r="F51" s="82" t="s">
        <v>62</v>
      </c>
    </row>
    <row r="52" spans="1:6" ht="20.100000000000001" customHeight="1" x14ac:dyDescent="0.25">
      <c r="A52" s="82" t="s">
        <v>63</v>
      </c>
      <c r="B52" s="41">
        <v>75445</v>
      </c>
      <c r="C52" s="41">
        <v>208834</v>
      </c>
      <c r="D52" s="41">
        <v>154523</v>
      </c>
      <c r="E52" s="39">
        <f t="shared" si="0"/>
        <v>438802</v>
      </c>
      <c r="F52" s="82" t="s">
        <v>63</v>
      </c>
    </row>
    <row r="53" spans="1:6" ht="19.5" hidden="1" customHeight="1" x14ac:dyDescent="0.25">
      <c r="A53" s="82" t="s">
        <v>51</v>
      </c>
      <c r="B53" s="27"/>
      <c r="C53" s="27"/>
      <c r="D53" s="27"/>
      <c r="E53" s="39">
        <f t="shared" si="0"/>
        <v>0</v>
      </c>
      <c r="F53" s="82" t="s">
        <v>51</v>
      </c>
    </row>
    <row r="54" spans="1:6" ht="20.100000000000001" hidden="1" customHeight="1" x14ac:dyDescent="0.25">
      <c r="A54" s="75" t="s">
        <v>30</v>
      </c>
      <c r="B54" s="39">
        <v>17445</v>
      </c>
      <c r="C54" s="39">
        <v>78198</v>
      </c>
      <c r="D54" s="39">
        <v>6950</v>
      </c>
      <c r="E54" s="39">
        <f t="shared" si="0"/>
        <v>102593</v>
      </c>
      <c r="F54" s="75" t="s">
        <v>30</v>
      </c>
    </row>
    <row r="55" spans="1:6" ht="20.100000000000001" hidden="1" customHeight="1" x14ac:dyDescent="0.25">
      <c r="A55" s="75" t="s">
        <v>31</v>
      </c>
      <c r="B55" s="39">
        <v>22785</v>
      </c>
      <c r="C55" s="39">
        <v>75633</v>
      </c>
      <c r="D55" s="39">
        <v>6175</v>
      </c>
      <c r="E55" s="39">
        <f t="shared" si="0"/>
        <v>104593</v>
      </c>
      <c r="F55" s="75" t="s">
        <v>31</v>
      </c>
    </row>
    <row r="56" spans="1:6" ht="20.100000000000001" hidden="1" customHeight="1" x14ac:dyDescent="0.25">
      <c r="A56" s="75" t="s">
        <v>3</v>
      </c>
      <c r="B56" s="39">
        <v>24260</v>
      </c>
      <c r="C56" s="39">
        <v>66698</v>
      </c>
      <c r="D56" s="39">
        <v>8835</v>
      </c>
      <c r="E56" s="39">
        <f t="shared" si="0"/>
        <v>99793</v>
      </c>
      <c r="F56" s="75" t="s">
        <v>3</v>
      </c>
    </row>
    <row r="57" spans="1:6" ht="20.100000000000001" hidden="1" customHeight="1" x14ac:dyDescent="0.25">
      <c r="A57" s="75" t="s">
        <v>33</v>
      </c>
      <c r="B57" s="40">
        <v>19343</v>
      </c>
      <c r="C57" s="40">
        <v>67551</v>
      </c>
      <c r="D57" s="40">
        <v>9042</v>
      </c>
      <c r="E57" s="39">
        <f t="shared" si="0"/>
        <v>95936</v>
      </c>
      <c r="F57" s="75" t="s">
        <v>33</v>
      </c>
    </row>
    <row r="58" spans="1:6" ht="20.100000000000001" hidden="1" customHeight="1" x14ac:dyDescent="0.25">
      <c r="A58" s="75" t="s">
        <v>34</v>
      </c>
      <c r="B58" s="39">
        <v>5231</v>
      </c>
      <c r="C58" s="39">
        <v>67867</v>
      </c>
      <c r="D58" s="39">
        <v>13320</v>
      </c>
      <c r="E58" s="39">
        <f t="shared" si="0"/>
        <v>86418</v>
      </c>
      <c r="F58" s="75" t="s">
        <v>34</v>
      </c>
    </row>
    <row r="59" spans="1:6" ht="20.100000000000001" hidden="1" customHeight="1" x14ac:dyDescent="0.25">
      <c r="A59" s="75" t="s">
        <v>0</v>
      </c>
      <c r="B59" s="39">
        <v>2483</v>
      </c>
      <c r="C59" s="39">
        <v>74860</v>
      </c>
      <c r="D59" s="39">
        <v>13416</v>
      </c>
      <c r="E59" s="39">
        <f t="shared" si="0"/>
        <v>90759</v>
      </c>
      <c r="F59" s="75" t="s">
        <v>0</v>
      </c>
    </row>
    <row r="60" spans="1:6" ht="20.100000000000001" hidden="1" customHeight="1" x14ac:dyDescent="0.25">
      <c r="A60" s="75" t="s">
        <v>1</v>
      </c>
      <c r="B60" s="39">
        <v>5589</v>
      </c>
      <c r="C60" s="39">
        <v>79723</v>
      </c>
      <c r="D60" s="39">
        <v>12420</v>
      </c>
      <c r="E60" s="39">
        <f t="shared" si="0"/>
        <v>97732</v>
      </c>
      <c r="F60" s="75" t="s">
        <v>1</v>
      </c>
    </row>
    <row r="61" spans="1:6" ht="20.100000000000001" hidden="1" customHeight="1" x14ac:dyDescent="0.25">
      <c r="A61" s="75" t="s">
        <v>2</v>
      </c>
      <c r="B61" s="39">
        <v>6913</v>
      </c>
      <c r="C61" s="39">
        <v>80843</v>
      </c>
      <c r="D61" s="39">
        <v>12977</v>
      </c>
      <c r="E61" s="39">
        <f t="shared" si="0"/>
        <v>100733</v>
      </c>
      <c r="F61" s="75" t="s">
        <v>2</v>
      </c>
    </row>
    <row r="62" spans="1:6" ht="20.100000000000001" hidden="1" customHeight="1" x14ac:dyDescent="0.25">
      <c r="A62" s="75" t="s">
        <v>36</v>
      </c>
      <c r="B62" s="40">
        <v>12396</v>
      </c>
      <c r="C62" s="40">
        <v>75536</v>
      </c>
      <c r="D62" s="40">
        <v>12801</v>
      </c>
      <c r="E62" s="39">
        <f t="shared" si="0"/>
        <v>100733</v>
      </c>
      <c r="F62" s="75" t="s">
        <v>36</v>
      </c>
    </row>
    <row r="63" spans="1:6" ht="20.100000000000001" hidden="1" customHeight="1" x14ac:dyDescent="0.25">
      <c r="A63" s="75" t="s">
        <v>38</v>
      </c>
      <c r="B63" s="40">
        <v>8043</v>
      </c>
      <c r="C63" s="40">
        <v>74016</v>
      </c>
      <c r="D63" s="40">
        <v>18887</v>
      </c>
      <c r="E63" s="39">
        <f t="shared" si="0"/>
        <v>100946</v>
      </c>
      <c r="F63" s="75" t="s">
        <v>38</v>
      </c>
    </row>
    <row r="64" spans="1:6" ht="20.100000000000001" hidden="1" customHeight="1" x14ac:dyDescent="0.25">
      <c r="A64" s="78" t="s">
        <v>39</v>
      </c>
      <c r="B64" s="40">
        <v>7896</v>
      </c>
      <c r="C64" s="40">
        <v>76955</v>
      </c>
      <c r="D64" s="40">
        <v>19994</v>
      </c>
      <c r="E64" s="39">
        <f t="shared" si="0"/>
        <v>104845</v>
      </c>
      <c r="F64" s="78" t="s">
        <v>39</v>
      </c>
    </row>
    <row r="65" spans="1:6" ht="20.100000000000001" hidden="1" customHeight="1" x14ac:dyDescent="0.25">
      <c r="A65" s="78" t="s">
        <v>40</v>
      </c>
      <c r="B65" s="40">
        <v>3954</v>
      </c>
      <c r="C65" s="40">
        <v>71152</v>
      </c>
      <c r="D65" s="40">
        <v>19690</v>
      </c>
      <c r="E65" s="39">
        <f t="shared" si="0"/>
        <v>94796</v>
      </c>
      <c r="F65" s="78" t="s">
        <v>40</v>
      </c>
    </row>
    <row r="66" spans="1:6" ht="20.100000000000001" hidden="1" customHeight="1" x14ac:dyDescent="0.25">
      <c r="A66" s="75"/>
      <c r="B66" s="43"/>
      <c r="C66" s="43"/>
      <c r="D66" s="39"/>
      <c r="E66" s="39">
        <f t="shared" si="0"/>
        <v>0</v>
      </c>
      <c r="F66" s="75"/>
    </row>
    <row r="67" spans="1:6" ht="20.100000000000001" hidden="1" customHeight="1" x14ac:dyDescent="0.25">
      <c r="A67" s="82" t="s">
        <v>53</v>
      </c>
      <c r="B67" s="43"/>
      <c r="C67" s="43"/>
      <c r="D67" s="39"/>
      <c r="E67" s="39">
        <f t="shared" si="0"/>
        <v>0</v>
      </c>
      <c r="F67" s="82" t="s">
        <v>53</v>
      </c>
    </row>
    <row r="68" spans="1:6" ht="20.100000000000001" hidden="1" customHeight="1" x14ac:dyDescent="0.25">
      <c r="A68" s="75" t="s">
        <v>30</v>
      </c>
      <c r="B68" s="40">
        <v>589</v>
      </c>
      <c r="C68" s="40">
        <v>79249</v>
      </c>
      <c r="D68" s="40">
        <v>20895</v>
      </c>
      <c r="E68" s="39">
        <f t="shared" si="0"/>
        <v>100733</v>
      </c>
      <c r="F68" s="75" t="s">
        <v>30</v>
      </c>
    </row>
    <row r="69" spans="1:6" ht="20.100000000000001" hidden="1" customHeight="1" x14ac:dyDescent="0.25">
      <c r="A69" s="75" t="s">
        <v>31</v>
      </c>
      <c r="B69" s="40">
        <v>2146</v>
      </c>
      <c r="C69" s="40">
        <v>89526</v>
      </c>
      <c r="D69" s="40">
        <v>18032</v>
      </c>
      <c r="E69" s="39">
        <f t="shared" si="0"/>
        <v>109704</v>
      </c>
      <c r="F69" s="75" t="s">
        <v>31</v>
      </c>
    </row>
    <row r="70" spans="1:6" ht="20.100000000000001" hidden="1" customHeight="1" x14ac:dyDescent="0.25">
      <c r="A70" s="75" t="s">
        <v>3</v>
      </c>
      <c r="B70" s="40">
        <v>15580</v>
      </c>
      <c r="C70" s="40">
        <v>92491</v>
      </c>
      <c r="D70" s="40">
        <v>12664</v>
      </c>
      <c r="E70" s="39">
        <f t="shared" si="0"/>
        <v>120735</v>
      </c>
      <c r="F70" s="75" t="s">
        <v>3</v>
      </c>
    </row>
    <row r="71" spans="1:6" ht="20.100000000000001" hidden="1" customHeight="1" x14ac:dyDescent="0.25">
      <c r="A71" s="75" t="s">
        <v>33</v>
      </c>
      <c r="B71" s="40">
        <v>16226</v>
      </c>
      <c r="C71" s="40">
        <v>80112</v>
      </c>
      <c r="D71" s="40">
        <v>19865</v>
      </c>
      <c r="E71" s="39">
        <f t="shared" si="0"/>
        <v>116203</v>
      </c>
      <c r="F71" s="75" t="s">
        <v>33</v>
      </c>
    </row>
    <row r="72" spans="1:6" ht="20.100000000000001" hidden="1" customHeight="1" x14ac:dyDescent="0.25">
      <c r="A72" s="75" t="s">
        <v>34</v>
      </c>
      <c r="B72" s="40">
        <v>16986</v>
      </c>
      <c r="C72" s="40">
        <v>83252</v>
      </c>
      <c r="D72" s="40">
        <v>17193</v>
      </c>
      <c r="E72" s="39">
        <f t="shared" si="0"/>
        <v>117431</v>
      </c>
      <c r="F72" s="75" t="s">
        <v>34</v>
      </c>
    </row>
    <row r="73" spans="1:6" ht="20.100000000000001" hidden="1" customHeight="1" x14ac:dyDescent="0.25">
      <c r="A73" s="75" t="s">
        <v>0</v>
      </c>
      <c r="B73" s="40">
        <v>9646</v>
      </c>
      <c r="C73" s="40">
        <v>92545</v>
      </c>
      <c r="D73" s="40">
        <v>16897</v>
      </c>
      <c r="E73" s="39">
        <f t="shared" si="0"/>
        <v>119088</v>
      </c>
      <c r="F73" s="75" t="s">
        <v>0</v>
      </c>
    </row>
    <row r="74" spans="1:6" ht="20.100000000000001" hidden="1" customHeight="1" x14ac:dyDescent="0.25">
      <c r="A74" s="75" t="s">
        <v>54</v>
      </c>
      <c r="B74" s="40">
        <v>9153</v>
      </c>
      <c r="C74" s="40">
        <v>94798</v>
      </c>
      <c r="D74" s="40">
        <v>16967</v>
      </c>
      <c r="E74" s="39">
        <f t="shared" si="0"/>
        <v>120918</v>
      </c>
      <c r="F74" s="75" t="s">
        <v>54</v>
      </c>
    </row>
    <row r="75" spans="1:6" ht="20.100000000000001" hidden="1" customHeight="1" x14ac:dyDescent="0.25">
      <c r="A75" s="75" t="s">
        <v>2</v>
      </c>
      <c r="B75" s="40">
        <v>12461</v>
      </c>
      <c r="C75" s="40">
        <v>107215</v>
      </c>
      <c r="D75" s="40">
        <v>13049</v>
      </c>
      <c r="E75" s="39">
        <f t="shared" si="0"/>
        <v>132725</v>
      </c>
      <c r="F75" s="75" t="s">
        <v>2</v>
      </c>
    </row>
    <row r="76" spans="1:6" ht="20.100000000000001" hidden="1" customHeight="1" x14ac:dyDescent="0.25">
      <c r="A76" s="75" t="s">
        <v>36</v>
      </c>
      <c r="B76" s="40">
        <v>17336</v>
      </c>
      <c r="C76" s="40">
        <v>105965</v>
      </c>
      <c r="D76" s="40">
        <v>13335</v>
      </c>
      <c r="E76" s="39">
        <f t="shared" si="0"/>
        <v>136636</v>
      </c>
      <c r="F76" s="75" t="s">
        <v>36</v>
      </c>
    </row>
    <row r="77" spans="1:6" ht="20.100000000000001" hidden="1" customHeight="1" x14ac:dyDescent="0.25">
      <c r="A77" s="78" t="s">
        <v>38</v>
      </c>
      <c r="B77" s="40">
        <v>22659</v>
      </c>
      <c r="C77" s="40">
        <v>104707</v>
      </c>
      <c r="D77" s="40">
        <v>10541</v>
      </c>
      <c r="E77" s="39">
        <f t="shared" si="0"/>
        <v>137907</v>
      </c>
      <c r="F77" s="78" t="s">
        <v>38</v>
      </c>
    </row>
    <row r="78" spans="1:6" ht="20.100000000000001" hidden="1" customHeight="1" x14ac:dyDescent="0.25">
      <c r="A78" s="78" t="s">
        <v>39</v>
      </c>
      <c r="B78" s="40">
        <v>27550</v>
      </c>
      <c r="C78" s="40">
        <v>98459</v>
      </c>
      <c r="D78" s="40">
        <v>11378</v>
      </c>
      <c r="E78" s="39">
        <f t="shared" si="0"/>
        <v>137387</v>
      </c>
      <c r="F78" s="78" t="s">
        <v>39</v>
      </c>
    </row>
    <row r="79" spans="1:6" ht="20.100000000000001" hidden="1" customHeight="1" x14ac:dyDescent="0.25">
      <c r="A79" s="78" t="s">
        <v>40</v>
      </c>
      <c r="B79" s="40">
        <v>30175</v>
      </c>
      <c r="C79" s="40">
        <v>93053</v>
      </c>
      <c r="D79" s="40">
        <v>16126</v>
      </c>
      <c r="E79" s="39">
        <f t="shared" si="0"/>
        <v>139354</v>
      </c>
      <c r="F79" s="78" t="s">
        <v>40</v>
      </c>
    </row>
    <row r="80" spans="1:6" ht="20.100000000000001" hidden="1" customHeight="1" x14ac:dyDescent="0.25">
      <c r="A80" s="75"/>
      <c r="B80" s="40"/>
      <c r="C80" s="40"/>
      <c r="D80" s="40"/>
      <c r="E80" s="39">
        <f t="shared" si="0"/>
        <v>0</v>
      </c>
      <c r="F80" s="75"/>
    </row>
    <row r="81" spans="1:6" ht="20.100000000000001" hidden="1" customHeight="1" x14ac:dyDescent="0.25">
      <c r="A81" s="82" t="s">
        <v>55</v>
      </c>
      <c r="B81" s="40"/>
      <c r="C81" s="40"/>
      <c r="D81" s="40"/>
      <c r="E81" s="39">
        <f t="shared" ref="E81:E108" si="1">B81+C81+D81</f>
        <v>0</v>
      </c>
      <c r="F81" s="82" t="s">
        <v>55</v>
      </c>
    </row>
    <row r="82" spans="1:6" ht="20.100000000000001" hidden="1" customHeight="1" x14ac:dyDescent="0.25">
      <c r="A82" s="75" t="s">
        <v>30</v>
      </c>
      <c r="B82" s="40">
        <v>27116</v>
      </c>
      <c r="C82" s="40">
        <v>97330</v>
      </c>
      <c r="D82" s="40">
        <v>16408</v>
      </c>
      <c r="E82" s="39">
        <f t="shared" si="1"/>
        <v>140854</v>
      </c>
      <c r="F82" s="75" t="s">
        <v>30</v>
      </c>
    </row>
    <row r="83" spans="1:6" ht="20.100000000000001" hidden="1" customHeight="1" x14ac:dyDescent="0.25">
      <c r="A83" s="75" t="s">
        <v>31</v>
      </c>
      <c r="B83" s="40">
        <v>31781</v>
      </c>
      <c r="C83" s="40">
        <v>100426</v>
      </c>
      <c r="D83" s="40">
        <v>12312</v>
      </c>
      <c r="E83" s="39">
        <f t="shared" si="1"/>
        <v>144519</v>
      </c>
      <c r="F83" s="75" t="s">
        <v>31</v>
      </c>
    </row>
    <row r="84" spans="1:6" ht="20.100000000000001" hidden="1" customHeight="1" x14ac:dyDescent="0.25">
      <c r="A84" s="75" t="s">
        <v>3</v>
      </c>
      <c r="B84" s="40">
        <v>43588</v>
      </c>
      <c r="C84" s="40">
        <v>91496</v>
      </c>
      <c r="D84" s="40">
        <v>9435</v>
      </c>
      <c r="E84" s="39">
        <f t="shared" si="1"/>
        <v>144519</v>
      </c>
      <c r="F84" s="75" t="s">
        <v>3</v>
      </c>
    </row>
    <row r="85" spans="1:6" ht="20.100000000000001" hidden="1" customHeight="1" x14ac:dyDescent="0.25">
      <c r="A85" s="75" t="s">
        <v>33</v>
      </c>
      <c r="B85" s="40">
        <v>30482</v>
      </c>
      <c r="C85" s="40">
        <v>91026</v>
      </c>
      <c r="D85" s="40">
        <v>23011</v>
      </c>
      <c r="E85" s="39">
        <f t="shared" si="1"/>
        <v>144519</v>
      </c>
      <c r="F85" s="75" t="s">
        <v>33</v>
      </c>
    </row>
    <row r="86" spans="1:6" ht="20.100000000000001" hidden="1" customHeight="1" x14ac:dyDescent="0.25">
      <c r="A86" s="75" t="s">
        <v>34</v>
      </c>
      <c r="B86" s="40">
        <v>34119</v>
      </c>
      <c r="C86" s="40">
        <v>94195</v>
      </c>
      <c r="D86" s="40">
        <v>19535</v>
      </c>
      <c r="E86" s="39">
        <f t="shared" si="1"/>
        <v>147849</v>
      </c>
      <c r="F86" s="75" t="s">
        <v>34</v>
      </c>
    </row>
    <row r="87" spans="1:6" ht="20.100000000000001" hidden="1" customHeight="1" x14ac:dyDescent="0.25">
      <c r="A87" s="75" t="s">
        <v>0</v>
      </c>
      <c r="B87" s="40">
        <v>38592</v>
      </c>
      <c r="C87" s="40">
        <v>98688</v>
      </c>
      <c r="D87" s="40">
        <v>10989</v>
      </c>
      <c r="E87" s="39">
        <f t="shared" si="1"/>
        <v>148269</v>
      </c>
      <c r="F87" s="75" t="s">
        <v>0</v>
      </c>
    </row>
    <row r="88" spans="1:6" ht="20.100000000000001" hidden="1" customHeight="1" x14ac:dyDescent="0.25">
      <c r="A88" s="75" t="s">
        <v>54</v>
      </c>
      <c r="B88" s="41">
        <v>31117</v>
      </c>
      <c r="C88" s="41">
        <v>102043</v>
      </c>
      <c r="D88" s="41">
        <v>18803</v>
      </c>
      <c r="E88" s="39">
        <f t="shared" si="1"/>
        <v>151963</v>
      </c>
      <c r="F88" s="75" t="s">
        <v>54</v>
      </c>
    </row>
    <row r="89" spans="1:6" ht="20.100000000000001" hidden="1" customHeight="1" x14ac:dyDescent="0.25">
      <c r="A89" s="75" t="s">
        <v>2</v>
      </c>
      <c r="B89" s="41">
        <v>27174</v>
      </c>
      <c r="C89" s="41">
        <v>110605</v>
      </c>
      <c r="D89" s="41">
        <v>23245</v>
      </c>
      <c r="E89" s="39">
        <f t="shared" si="1"/>
        <v>161024</v>
      </c>
      <c r="F89" s="75" t="s">
        <v>2</v>
      </c>
    </row>
    <row r="90" spans="1:6" ht="20.100000000000001" hidden="1" customHeight="1" x14ac:dyDescent="0.25">
      <c r="A90" s="75" t="s">
        <v>36</v>
      </c>
      <c r="B90" s="41">
        <v>34073</v>
      </c>
      <c r="C90" s="41">
        <v>108119</v>
      </c>
      <c r="D90" s="41">
        <v>20288</v>
      </c>
      <c r="E90" s="39">
        <f t="shared" si="1"/>
        <v>162480</v>
      </c>
      <c r="F90" s="75" t="s">
        <v>36</v>
      </c>
    </row>
    <row r="91" spans="1:6" ht="20.100000000000001" hidden="1" customHeight="1" x14ac:dyDescent="0.25">
      <c r="A91" s="78" t="s">
        <v>38</v>
      </c>
      <c r="B91" s="41">
        <v>26972</v>
      </c>
      <c r="C91" s="41">
        <v>113972</v>
      </c>
      <c r="D91" s="41">
        <v>23537</v>
      </c>
      <c r="E91" s="39">
        <f t="shared" si="1"/>
        <v>164481</v>
      </c>
      <c r="F91" s="78" t="s">
        <v>38</v>
      </c>
    </row>
    <row r="92" spans="1:6" ht="20.100000000000001" hidden="1" customHeight="1" x14ac:dyDescent="0.25">
      <c r="A92" s="78" t="s">
        <v>39</v>
      </c>
      <c r="B92" s="41">
        <v>23830</v>
      </c>
      <c r="C92" s="41">
        <v>121594</v>
      </c>
      <c r="D92" s="41">
        <v>33451</v>
      </c>
      <c r="E92" s="39">
        <f t="shared" si="1"/>
        <v>178875</v>
      </c>
      <c r="F92" s="78" t="s">
        <v>39</v>
      </c>
    </row>
    <row r="93" spans="1:6" ht="20.100000000000001" hidden="1" customHeight="1" x14ac:dyDescent="0.25">
      <c r="A93" s="78" t="s">
        <v>40</v>
      </c>
      <c r="B93" s="41">
        <v>33597</v>
      </c>
      <c r="C93" s="41">
        <v>117347</v>
      </c>
      <c r="D93" s="41">
        <v>36702</v>
      </c>
      <c r="E93" s="39">
        <f t="shared" si="1"/>
        <v>187646</v>
      </c>
      <c r="F93" s="78" t="s">
        <v>40</v>
      </c>
    </row>
    <row r="94" spans="1:6" ht="20.100000000000001" hidden="1" customHeight="1" x14ac:dyDescent="0.25">
      <c r="A94" s="78"/>
      <c r="B94" s="41"/>
      <c r="C94" s="41"/>
      <c r="D94" s="41"/>
      <c r="E94" s="39">
        <f t="shared" si="1"/>
        <v>0</v>
      </c>
      <c r="F94" s="78"/>
    </row>
    <row r="95" spans="1:6" ht="20.100000000000001" hidden="1" customHeight="1" x14ac:dyDescent="0.25">
      <c r="A95" s="82" t="s">
        <v>56</v>
      </c>
      <c r="B95" s="41"/>
      <c r="C95" s="41"/>
      <c r="D95" s="41"/>
      <c r="E95" s="39">
        <f t="shared" si="1"/>
        <v>0</v>
      </c>
      <c r="F95" s="82" t="s">
        <v>56</v>
      </c>
    </row>
    <row r="96" spans="1:6" ht="20.100000000000001" hidden="1" customHeight="1" x14ac:dyDescent="0.25">
      <c r="A96" s="75" t="s">
        <v>30</v>
      </c>
      <c r="B96" s="41">
        <v>32282</v>
      </c>
      <c r="C96" s="41">
        <v>125936</v>
      </c>
      <c r="D96" s="41">
        <v>36919</v>
      </c>
      <c r="E96" s="39">
        <f t="shared" si="1"/>
        <v>195137</v>
      </c>
      <c r="F96" s="75" t="s">
        <v>30</v>
      </c>
    </row>
    <row r="97" spans="1:7" ht="20.100000000000001" hidden="1" customHeight="1" x14ac:dyDescent="0.25">
      <c r="A97" s="75" t="s">
        <v>31</v>
      </c>
      <c r="B97" s="41">
        <v>43394</v>
      </c>
      <c r="C97" s="41">
        <v>120270</v>
      </c>
      <c r="D97" s="41">
        <v>34573</v>
      </c>
      <c r="E97" s="39">
        <f t="shared" si="1"/>
        <v>198237</v>
      </c>
      <c r="F97" s="75" t="s">
        <v>31</v>
      </c>
    </row>
    <row r="98" spans="1:7" ht="20.100000000000001" hidden="1" customHeight="1" x14ac:dyDescent="0.25">
      <c r="A98" s="75" t="s">
        <v>3</v>
      </c>
      <c r="B98" s="41">
        <v>35437</v>
      </c>
      <c r="C98" s="41">
        <v>125103</v>
      </c>
      <c r="D98" s="41">
        <v>35068</v>
      </c>
      <c r="E98" s="39">
        <f t="shared" si="1"/>
        <v>195608</v>
      </c>
      <c r="F98" s="75" t="s">
        <v>3</v>
      </c>
    </row>
    <row r="99" spans="1:7" ht="20.100000000000001" hidden="1" customHeight="1" x14ac:dyDescent="0.25">
      <c r="A99" s="75" t="s">
        <v>33</v>
      </c>
      <c r="B99" s="41">
        <v>31507</v>
      </c>
      <c r="C99" s="41">
        <v>119862</v>
      </c>
      <c r="D99" s="41">
        <v>43184</v>
      </c>
      <c r="E99" s="39">
        <f t="shared" si="1"/>
        <v>194553</v>
      </c>
      <c r="F99" s="75" t="s">
        <v>33</v>
      </c>
    </row>
    <row r="100" spans="1:7" ht="20.100000000000001" hidden="1" customHeight="1" x14ac:dyDescent="0.25">
      <c r="A100" s="75" t="s">
        <v>34</v>
      </c>
      <c r="B100" s="41">
        <v>24442</v>
      </c>
      <c r="C100" s="41">
        <v>127600</v>
      </c>
      <c r="D100" s="41">
        <v>42656</v>
      </c>
      <c r="E100" s="39">
        <f t="shared" si="1"/>
        <v>194698</v>
      </c>
      <c r="F100" s="75" t="s">
        <v>34</v>
      </c>
    </row>
    <row r="101" spans="1:7" ht="20.100000000000001" hidden="1" customHeight="1" x14ac:dyDescent="0.25">
      <c r="A101" s="75" t="s">
        <v>0</v>
      </c>
      <c r="B101" s="41">
        <v>34456</v>
      </c>
      <c r="C101" s="41">
        <v>123018</v>
      </c>
      <c r="D101" s="41">
        <v>40843</v>
      </c>
      <c r="E101" s="39">
        <f t="shared" si="1"/>
        <v>198317</v>
      </c>
      <c r="F101" s="75" t="s">
        <v>0</v>
      </c>
    </row>
    <row r="102" spans="1:7" ht="20.100000000000001" hidden="1" customHeight="1" x14ac:dyDescent="0.25">
      <c r="A102" s="75" t="s">
        <v>54</v>
      </c>
      <c r="B102" s="41">
        <v>26738</v>
      </c>
      <c r="C102" s="41">
        <v>129500</v>
      </c>
      <c r="D102" s="41">
        <v>48044</v>
      </c>
      <c r="E102" s="39">
        <f t="shared" si="1"/>
        <v>204282</v>
      </c>
      <c r="F102" s="75" t="s">
        <v>1</v>
      </c>
      <c r="G102" s="2"/>
    </row>
    <row r="103" spans="1:7" ht="20.100000000000001" hidden="1" customHeight="1" x14ac:dyDescent="0.25">
      <c r="A103" s="75" t="s">
        <v>2</v>
      </c>
      <c r="B103" s="41">
        <v>21967</v>
      </c>
      <c r="C103" s="41">
        <v>140851</v>
      </c>
      <c r="D103" s="41">
        <v>51626</v>
      </c>
      <c r="E103" s="39">
        <f t="shared" si="1"/>
        <v>214444</v>
      </c>
      <c r="F103" s="75" t="s">
        <v>2</v>
      </c>
    </row>
    <row r="104" spans="1:7" ht="20.100000000000001" hidden="1" customHeight="1" x14ac:dyDescent="0.25">
      <c r="A104" s="75" t="s">
        <v>36</v>
      </c>
      <c r="B104" s="40">
        <v>35423</v>
      </c>
      <c r="C104" s="40">
        <v>132801</v>
      </c>
      <c r="D104" s="40">
        <v>46707</v>
      </c>
      <c r="E104" s="39">
        <f t="shared" si="1"/>
        <v>214931</v>
      </c>
      <c r="F104" s="75" t="s">
        <v>36</v>
      </c>
    </row>
    <row r="105" spans="1:7" ht="20.100000000000001" hidden="1" customHeight="1" x14ac:dyDescent="0.25">
      <c r="A105" s="78" t="s">
        <v>38</v>
      </c>
      <c r="B105" s="44">
        <v>33590</v>
      </c>
      <c r="C105" s="55">
        <v>132044</v>
      </c>
      <c r="D105" s="44">
        <v>55395</v>
      </c>
      <c r="E105" s="39">
        <f t="shared" si="1"/>
        <v>221029</v>
      </c>
      <c r="F105" s="75" t="s">
        <v>38</v>
      </c>
    </row>
    <row r="106" spans="1:7" ht="20.100000000000001" hidden="1" customHeight="1" x14ac:dyDescent="0.25">
      <c r="A106" s="78" t="s">
        <v>39</v>
      </c>
      <c r="B106" s="45">
        <v>36858</v>
      </c>
      <c r="C106" s="45">
        <v>134650</v>
      </c>
      <c r="D106" s="45">
        <v>55254</v>
      </c>
      <c r="E106" s="39">
        <f t="shared" si="1"/>
        <v>226762</v>
      </c>
      <c r="F106" s="75" t="s">
        <v>39</v>
      </c>
    </row>
    <row r="107" spans="1:7" ht="20.100000000000001" hidden="1" customHeight="1" x14ac:dyDescent="0.25">
      <c r="A107" s="78" t="s">
        <v>40</v>
      </c>
      <c r="B107" s="45">
        <v>65609</v>
      </c>
      <c r="C107" s="45">
        <v>113414</v>
      </c>
      <c r="D107" s="45">
        <v>52508</v>
      </c>
      <c r="E107" s="39">
        <f t="shared" si="1"/>
        <v>231531</v>
      </c>
      <c r="F107" s="75" t="s">
        <v>40</v>
      </c>
      <c r="G107" s="2"/>
    </row>
    <row r="108" spans="1:7" ht="20.100000000000001" customHeight="1" x14ac:dyDescent="0.25">
      <c r="A108" s="66" t="s">
        <v>70</v>
      </c>
      <c r="B108" s="45">
        <v>95359</v>
      </c>
      <c r="C108" s="45">
        <v>218240</v>
      </c>
      <c r="D108" s="45">
        <v>178261</v>
      </c>
      <c r="E108" s="39">
        <f t="shared" si="1"/>
        <v>491860</v>
      </c>
      <c r="F108" s="36" t="s">
        <v>70</v>
      </c>
      <c r="G108" s="2"/>
    </row>
    <row r="109" spans="1:7" ht="20.100000000000001" customHeight="1" x14ac:dyDescent="0.25">
      <c r="A109" s="66">
        <v>2008</v>
      </c>
      <c r="B109" s="45">
        <f>B192</f>
        <v>41726.85</v>
      </c>
      <c r="C109" s="45">
        <f>C192</f>
        <v>392772.1</v>
      </c>
      <c r="D109" s="45">
        <f>D192</f>
        <v>151390.44999999998</v>
      </c>
      <c r="E109" s="45">
        <f>E192</f>
        <v>585889.39999999991</v>
      </c>
      <c r="F109" s="66">
        <v>2008</v>
      </c>
      <c r="G109" s="2"/>
    </row>
    <row r="110" spans="1:7" ht="20.100000000000001" customHeight="1" x14ac:dyDescent="0.25">
      <c r="A110" s="66">
        <v>2009</v>
      </c>
      <c r="B110" s="45">
        <f>B210</f>
        <v>164463</v>
      </c>
      <c r="C110" s="45">
        <f>C210</f>
        <v>358989</v>
      </c>
      <c r="D110" s="45">
        <f>D210</f>
        <v>128516</v>
      </c>
      <c r="E110" s="45">
        <f>E210</f>
        <v>651968</v>
      </c>
      <c r="F110" s="66">
        <v>2009</v>
      </c>
    </row>
    <row r="111" spans="1:7" ht="20.100000000000001" customHeight="1" x14ac:dyDescent="0.25">
      <c r="A111" s="66">
        <v>2010</v>
      </c>
      <c r="B111" s="45">
        <f>B230</f>
        <v>149388.70000000001</v>
      </c>
      <c r="C111" s="45">
        <f>C230</f>
        <v>474244.80000000005</v>
      </c>
      <c r="D111" s="45">
        <f>D230</f>
        <v>147419.85</v>
      </c>
      <c r="E111" s="45">
        <f>E230</f>
        <v>771053.35</v>
      </c>
      <c r="F111" s="66">
        <v>2010</v>
      </c>
    </row>
    <row r="112" spans="1:7" ht="20.100000000000001" customHeight="1" x14ac:dyDescent="0.25">
      <c r="A112" s="66">
        <v>2011</v>
      </c>
      <c r="B112" s="45">
        <f>B254</f>
        <v>132435.15000000002</v>
      </c>
      <c r="C112" s="45">
        <f>C254</f>
        <v>529591.15</v>
      </c>
      <c r="D112" s="45">
        <f>D254</f>
        <v>184351.69999999998</v>
      </c>
      <c r="E112" s="45">
        <f>E254</f>
        <v>846378</v>
      </c>
      <c r="F112" s="66">
        <v>2011</v>
      </c>
    </row>
    <row r="113" spans="1:6" ht="20.100000000000001" hidden="1" customHeight="1" x14ac:dyDescent="0.25">
      <c r="A113" s="139">
        <v>2011</v>
      </c>
      <c r="B113" s="45"/>
      <c r="C113" s="45"/>
      <c r="D113" s="45"/>
      <c r="E113" s="45">
        <f t="shared" ref="E113:E114" si="2">E255</f>
        <v>0</v>
      </c>
      <c r="F113" s="139">
        <v>2011</v>
      </c>
    </row>
    <row r="114" spans="1:6" ht="20.100000000000001" hidden="1" customHeight="1" x14ac:dyDescent="0.25">
      <c r="A114" s="139">
        <v>2011</v>
      </c>
      <c r="B114" s="45"/>
      <c r="C114" s="45"/>
      <c r="D114" s="45"/>
      <c r="E114" s="45">
        <f t="shared" si="2"/>
        <v>0</v>
      </c>
      <c r="F114" s="139">
        <v>2011</v>
      </c>
    </row>
    <row r="115" spans="1:6" ht="19.5" hidden="1" customHeight="1" x14ac:dyDescent="0.25">
      <c r="A115" s="139">
        <v>2011</v>
      </c>
      <c r="B115" s="27"/>
      <c r="C115" s="27"/>
      <c r="D115" s="27"/>
      <c r="E115" s="45">
        <f t="shared" ref="E115:E127" si="3">E269</f>
        <v>0</v>
      </c>
      <c r="F115" s="139">
        <v>2011</v>
      </c>
    </row>
    <row r="116" spans="1:6" ht="20.100000000000001" hidden="1" customHeight="1" x14ac:dyDescent="0.25">
      <c r="A116" s="139">
        <v>2011</v>
      </c>
      <c r="B116" s="41">
        <v>51379</v>
      </c>
      <c r="C116" s="41">
        <v>127900</v>
      </c>
      <c r="D116" s="41">
        <v>55591</v>
      </c>
      <c r="E116" s="45">
        <f t="shared" si="3"/>
        <v>880328.45000000019</v>
      </c>
      <c r="F116" s="139">
        <v>2011</v>
      </c>
    </row>
    <row r="117" spans="1:6" ht="20.100000000000001" hidden="1" customHeight="1" x14ac:dyDescent="0.25">
      <c r="A117" s="139">
        <v>2011</v>
      </c>
      <c r="B117" s="41">
        <v>40232</v>
      </c>
      <c r="C117" s="41">
        <v>141348</v>
      </c>
      <c r="D117" s="41">
        <v>58164</v>
      </c>
      <c r="E117" s="45">
        <f t="shared" si="3"/>
        <v>919624.3</v>
      </c>
      <c r="F117" s="139">
        <v>2011</v>
      </c>
    </row>
    <row r="118" spans="1:6" ht="20.100000000000001" hidden="1" customHeight="1" x14ac:dyDescent="0.25">
      <c r="A118" s="139">
        <v>2011</v>
      </c>
      <c r="B118" s="41">
        <v>51606</v>
      </c>
      <c r="C118" s="41">
        <v>130329</v>
      </c>
      <c r="D118" s="41">
        <v>60340</v>
      </c>
      <c r="E118" s="45">
        <f t="shared" si="3"/>
        <v>949042</v>
      </c>
      <c r="F118" s="139">
        <v>2011</v>
      </c>
    </row>
    <row r="119" spans="1:6" ht="20.100000000000001" hidden="1" customHeight="1" x14ac:dyDescent="0.25">
      <c r="A119" s="139">
        <v>2011</v>
      </c>
      <c r="B119" s="41">
        <v>49392</v>
      </c>
      <c r="C119" s="41">
        <v>134677</v>
      </c>
      <c r="D119" s="41">
        <v>67812</v>
      </c>
      <c r="E119" s="45">
        <f t="shared" si="3"/>
        <v>977586</v>
      </c>
      <c r="F119" s="139">
        <v>2011</v>
      </c>
    </row>
    <row r="120" spans="1:6" ht="20.100000000000001" hidden="1" customHeight="1" x14ac:dyDescent="0.25">
      <c r="A120" s="139">
        <v>2011</v>
      </c>
      <c r="B120" s="41">
        <v>44285</v>
      </c>
      <c r="C120" s="41">
        <v>139516</v>
      </c>
      <c r="D120" s="41">
        <v>68081</v>
      </c>
      <c r="E120" s="45">
        <f t="shared" si="3"/>
        <v>977586</v>
      </c>
      <c r="F120" s="139">
        <v>2011</v>
      </c>
    </row>
    <row r="121" spans="1:6" ht="20.100000000000001" hidden="1" customHeight="1" x14ac:dyDescent="0.25">
      <c r="A121" s="139">
        <v>2011</v>
      </c>
      <c r="B121" s="41">
        <v>48367</v>
      </c>
      <c r="C121" s="41">
        <v>141764</v>
      </c>
      <c r="D121" s="41">
        <v>72345</v>
      </c>
      <c r="E121" s="45">
        <f t="shared" si="3"/>
        <v>859285.39999999991</v>
      </c>
      <c r="F121" s="139">
        <v>2011</v>
      </c>
    </row>
    <row r="122" spans="1:6" ht="20.100000000000001" hidden="1" customHeight="1" x14ac:dyDescent="0.25">
      <c r="A122" s="139">
        <v>2011</v>
      </c>
      <c r="B122" s="41">
        <v>35256</v>
      </c>
      <c r="C122" s="41">
        <v>156922</v>
      </c>
      <c r="D122" s="41">
        <v>82815</v>
      </c>
      <c r="E122" s="45">
        <f t="shared" si="3"/>
        <v>893470</v>
      </c>
      <c r="F122" s="139">
        <v>2011</v>
      </c>
    </row>
    <row r="123" spans="1:6" ht="20.100000000000001" hidden="1" customHeight="1" x14ac:dyDescent="0.25">
      <c r="A123" s="139">
        <v>2011</v>
      </c>
      <c r="B123" s="41">
        <v>26197</v>
      </c>
      <c r="C123" s="41">
        <v>168216</v>
      </c>
      <c r="D123" s="41">
        <v>86417</v>
      </c>
      <c r="E123" s="45">
        <f t="shared" si="3"/>
        <v>939261.95</v>
      </c>
      <c r="F123" s="139">
        <v>2011</v>
      </c>
    </row>
    <row r="124" spans="1:6" ht="20.100000000000001" hidden="1" customHeight="1" x14ac:dyDescent="0.25">
      <c r="A124" s="139">
        <v>2011</v>
      </c>
      <c r="B124" s="41">
        <v>35593</v>
      </c>
      <c r="C124" s="41">
        <v>183411</v>
      </c>
      <c r="D124" s="41">
        <v>75165</v>
      </c>
      <c r="E124" s="45">
        <f t="shared" si="3"/>
        <v>977652.85</v>
      </c>
      <c r="F124" s="139">
        <v>2011</v>
      </c>
    </row>
    <row r="125" spans="1:6" ht="20.100000000000001" hidden="1" customHeight="1" x14ac:dyDescent="0.25">
      <c r="A125" s="139">
        <v>2011</v>
      </c>
      <c r="B125" s="41">
        <v>36932</v>
      </c>
      <c r="C125" s="41">
        <v>175406</v>
      </c>
      <c r="D125" s="41">
        <v>86776</v>
      </c>
      <c r="E125" s="45">
        <f t="shared" si="3"/>
        <v>1006834.75</v>
      </c>
      <c r="F125" s="139">
        <v>2011</v>
      </c>
    </row>
    <row r="126" spans="1:6" ht="20.100000000000001" hidden="1" customHeight="1" x14ac:dyDescent="0.25">
      <c r="A126" s="139">
        <v>2011</v>
      </c>
      <c r="B126" s="41">
        <v>49876</v>
      </c>
      <c r="C126" s="41">
        <v>177541</v>
      </c>
      <c r="D126" s="41">
        <v>77031</v>
      </c>
      <c r="E126" s="45">
        <f t="shared" si="3"/>
        <v>1003123.5999999999</v>
      </c>
      <c r="F126" s="139">
        <v>2011</v>
      </c>
    </row>
    <row r="127" spans="1:6" ht="20.100000000000001" hidden="1" customHeight="1" x14ac:dyDescent="0.25">
      <c r="A127" s="139">
        <v>2011</v>
      </c>
      <c r="B127" s="41">
        <v>76015</v>
      </c>
      <c r="C127" s="41">
        <v>145690</v>
      </c>
      <c r="D127" s="41">
        <v>82742</v>
      </c>
      <c r="E127" s="45">
        <f t="shared" si="3"/>
        <v>1024151.65</v>
      </c>
      <c r="F127" s="139">
        <v>2011</v>
      </c>
    </row>
    <row r="128" spans="1:6" ht="20.100000000000001" hidden="1" customHeight="1" x14ac:dyDescent="0.25">
      <c r="A128" s="139">
        <v>2011</v>
      </c>
      <c r="B128" s="41"/>
      <c r="C128" s="41"/>
      <c r="D128" s="41"/>
      <c r="E128" s="45">
        <f>E300</f>
        <v>0</v>
      </c>
      <c r="F128" s="139">
        <v>2011</v>
      </c>
    </row>
    <row r="129" spans="1:6" ht="20.100000000000001" hidden="1" customHeight="1" x14ac:dyDescent="0.25">
      <c r="A129" s="139">
        <v>2011</v>
      </c>
      <c r="B129" s="41"/>
      <c r="C129" s="41"/>
      <c r="D129" s="41"/>
      <c r="E129" s="45">
        <f t="shared" ref="E129:E135" si="4">E307</f>
        <v>0</v>
      </c>
      <c r="F129" s="139">
        <v>2011</v>
      </c>
    </row>
    <row r="130" spans="1:6" ht="20.100000000000001" hidden="1" customHeight="1" x14ac:dyDescent="0.25">
      <c r="A130" s="139">
        <v>2011</v>
      </c>
      <c r="B130" s="41">
        <v>52263</v>
      </c>
      <c r="C130" s="41">
        <v>152381</v>
      </c>
      <c r="D130" s="41">
        <v>99803</v>
      </c>
      <c r="E130" s="45">
        <f t="shared" si="4"/>
        <v>937546.3</v>
      </c>
      <c r="F130" s="139">
        <v>2011</v>
      </c>
    </row>
    <row r="131" spans="1:6" ht="20.100000000000001" hidden="1" customHeight="1" x14ac:dyDescent="0.25">
      <c r="A131" s="139">
        <v>2011</v>
      </c>
      <c r="B131" s="41">
        <v>35054</v>
      </c>
      <c r="C131" s="41">
        <v>151932</v>
      </c>
      <c r="D131" s="41">
        <v>117461</v>
      </c>
      <c r="E131" s="45">
        <f t="shared" si="4"/>
        <v>1056839.9000000001</v>
      </c>
      <c r="F131" s="139">
        <v>2011</v>
      </c>
    </row>
    <row r="132" spans="1:6" ht="20.100000000000001" hidden="1" customHeight="1" x14ac:dyDescent="0.25">
      <c r="A132" s="139">
        <v>2011</v>
      </c>
      <c r="B132" s="41">
        <v>6001</v>
      </c>
      <c r="C132" s="41">
        <v>175304</v>
      </c>
      <c r="D132" s="41">
        <v>131872</v>
      </c>
      <c r="E132" s="45">
        <f t="shared" si="4"/>
        <v>1071741.3999999999</v>
      </c>
      <c r="F132" s="139">
        <v>2011</v>
      </c>
    </row>
    <row r="133" spans="1:6" ht="20.100000000000001" hidden="1" customHeight="1" x14ac:dyDescent="0.25">
      <c r="A133" s="139">
        <v>2011</v>
      </c>
      <c r="B133" s="41">
        <v>33095</v>
      </c>
      <c r="C133" s="41">
        <v>198215</v>
      </c>
      <c r="D133" s="41">
        <v>144134</v>
      </c>
      <c r="E133" s="45">
        <f t="shared" si="4"/>
        <v>1026121.1</v>
      </c>
      <c r="F133" s="139">
        <v>2011</v>
      </c>
    </row>
    <row r="134" spans="1:6" ht="20.100000000000001" hidden="1" customHeight="1" x14ac:dyDescent="0.25">
      <c r="A134" s="139">
        <v>2011</v>
      </c>
      <c r="B134" s="41"/>
      <c r="C134" s="41"/>
      <c r="D134" s="41"/>
      <c r="E134" s="45">
        <f t="shared" si="4"/>
        <v>1022426</v>
      </c>
      <c r="F134" s="139">
        <v>2011</v>
      </c>
    </row>
    <row r="135" spans="1:6" ht="20.100000000000001" hidden="1" customHeight="1" x14ac:dyDescent="0.25">
      <c r="A135" s="139">
        <v>2011</v>
      </c>
      <c r="B135" s="41">
        <v>66620</v>
      </c>
      <c r="C135" s="41">
        <v>150046</v>
      </c>
      <c r="D135" s="41">
        <v>87781</v>
      </c>
      <c r="E135" s="45">
        <f t="shared" si="4"/>
        <v>1044551</v>
      </c>
      <c r="F135" s="139">
        <v>2011</v>
      </c>
    </row>
    <row r="136" spans="1:6" ht="20.100000000000001" hidden="1" customHeight="1" x14ac:dyDescent="0.25">
      <c r="A136" s="139">
        <v>2011</v>
      </c>
      <c r="B136" s="41">
        <v>61215</v>
      </c>
      <c r="C136" s="41">
        <v>156774</v>
      </c>
      <c r="D136" s="41">
        <v>86458</v>
      </c>
      <c r="E136" s="45" t="e">
        <f>#REF!</f>
        <v>#REF!</v>
      </c>
      <c r="F136" s="139">
        <v>2011</v>
      </c>
    </row>
    <row r="137" spans="1:6" ht="20.100000000000001" hidden="1" customHeight="1" x14ac:dyDescent="0.25">
      <c r="A137" s="139">
        <v>2011</v>
      </c>
      <c r="B137" s="41">
        <v>52263</v>
      </c>
      <c r="C137" s="41">
        <v>152381</v>
      </c>
      <c r="D137" s="41">
        <v>99803</v>
      </c>
      <c r="E137" s="45" t="e">
        <f>#REF!</f>
        <v>#REF!</v>
      </c>
      <c r="F137" s="139">
        <v>2011</v>
      </c>
    </row>
    <row r="138" spans="1:6" ht="20.100000000000001" hidden="1" customHeight="1" x14ac:dyDescent="0.25">
      <c r="A138" s="139">
        <v>2011</v>
      </c>
      <c r="B138" s="41">
        <v>48223</v>
      </c>
      <c r="C138" s="41">
        <v>146947</v>
      </c>
      <c r="D138" s="41">
        <v>109277</v>
      </c>
      <c r="E138" s="45" t="e">
        <f>#REF!</f>
        <v>#REF!</v>
      </c>
      <c r="F138" s="139">
        <v>2011</v>
      </c>
    </row>
    <row r="139" spans="1:6" ht="20.100000000000001" hidden="1" customHeight="1" x14ac:dyDescent="0.25">
      <c r="A139" s="139">
        <v>2011</v>
      </c>
      <c r="B139" s="41">
        <v>32753</v>
      </c>
      <c r="C139" s="41">
        <v>154726</v>
      </c>
      <c r="D139" s="41">
        <v>116968</v>
      </c>
      <c r="E139" s="45" t="e">
        <f>#REF!</f>
        <v>#REF!</v>
      </c>
      <c r="F139" s="139">
        <v>2011</v>
      </c>
    </row>
    <row r="140" spans="1:6" ht="20.100000000000001" hidden="1" customHeight="1" x14ac:dyDescent="0.25">
      <c r="A140" s="139">
        <v>2011</v>
      </c>
      <c r="B140" s="41">
        <v>35054</v>
      </c>
      <c r="C140" s="41">
        <v>151932</v>
      </c>
      <c r="D140" s="41">
        <v>117461</v>
      </c>
      <c r="E140" s="45" t="e">
        <f>#REF!</f>
        <v>#REF!</v>
      </c>
      <c r="F140" s="139">
        <v>2011</v>
      </c>
    </row>
    <row r="141" spans="1:6" ht="20.100000000000001" hidden="1" customHeight="1" x14ac:dyDescent="0.25">
      <c r="A141" s="139">
        <v>2011</v>
      </c>
      <c r="B141" s="41">
        <v>21297</v>
      </c>
      <c r="C141" s="41">
        <v>161158</v>
      </c>
      <c r="D141" s="41">
        <v>121992</v>
      </c>
      <c r="E141" s="45" t="e">
        <f>#REF!</f>
        <v>#REF!</v>
      </c>
      <c r="F141" s="139">
        <v>2011</v>
      </c>
    </row>
    <row r="142" spans="1:6" ht="20.100000000000001" hidden="1" customHeight="1" x14ac:dyDescent="0.25">
      <c r="A142" s="139">
        <v>2011</v>
      </c>
      <c r="B142" s="41">
        <v>6000</v>
      </c>
      <c r="C142" s="41">
        <v>162152</v>
      </c>
      <c r="D142" s="41">
        <v>136295</v>
      </c>
      <c r="E142" s="45" t="e">
        <f>#REF!</f>
        <v>#REF!</v>
      </c>
      <c r="F142" s="139">
        <v>2011</v>
      </c>
    </row>
    <row r="143" spans="1:6" ht="20.100000000000001" hidden="1" customHeight="1" x14ac:dyDescent="0.25">
      <c r="A143" s="139">
        <v>2011</v>
      </c>
      <c r="B143" s="41">
        <v>6001</v>
      </c>
      <c r="C143" s="41">
        <v>175304</v>
      </c>
      <c r="D143" s="41">
        <v>131872</v>
      </c>
      <c r="E143" s="45" t="e">
        <f>#REF!</f>
        <v>#REF!</v>
      </c>
      <c r="F143" s="139">
        <v>2011</v>
      </c>
    </row>
    <row r="144" spans="1:6" ht="20.100000000000001" hidden="1" customHeight="1" x14ac:dyDescent="0.25">
      <c r="A144" s="139">
        <v>2011</v>
      </c>
      <c r="B144" s="41">
        <v>18045</v>
      </c>
      <c r="C144" s="41">
        <v>180427</v>
      </c>
      <c r="D144" s="41">
        <v>133797</v>
      </c>
      <c r="E144" s="45">
        <f t="shared" ref="E144:E178" si="5">E363</f>
        <v>0</v>
      </c>
      <c r="F144" s="139">
        <v>2011</v>
      </c>
    </row>
    <row r="145" spans="1:6" ht="20.100000000000001" hidden="1" customHeight="1" x14ac:dyDescent="0.25">
      <c r="A145" s="139">
        <v>2011</v>
      </c>
      <c r="B145" s="41">
        <v>23978</v>
      </c>
      <c r="C145" s="41">
        <v>202282</v>
      </c>
      <c r="D145" s="41">
        <v>145356</v>
      </c>
      <c r="E145" s="45">
        <f t="shared" si="5"/>
        <v>0</v>
      </c>
      <c r="F145" s="139">
        <v>2011</v>
      </c>
    </row>
    <row r="146" spans="1:6" ht="20.100000000000001" hidden="1" customHeight="1" x14ac:dyDescent="0.25">
      <c r="A146" s="139">
        <v>2011</v>
      </c>
      <c r="B146" s="41">
        <v>33095</v>
      </c>
      <c r="C146" s="41">
        <v>198215</v>
      </c>
      <c r="D146" s="41">
        <v>144134</v>
      </c>
      <c r="E146" s="45">
        <f t="shared" si="5"/>
        <v>0</v>
      </c>
      <c r="F146" s="139">
        <v>2011</v>
      </c>
    </row>
    <row r="147" spans="1:6" ht="20.100000000000001" hidden="1" customHeight="1" x14ac:dyDescent="0.25">
      <c r="A147" s="139">
        <v>2011</v>
      </c>
      <c r="B147" s="41">
        <v>1707638.9000000001</v>
      </c>
      <c r="C147" s="41">
        <v>4963059.3999999994</v>
      </c>
      <c r="D147" s="41">
        <v>1748858.6</v>
      </c>
      <c r="E147" s="45">
        <f t="shared" si="5"/>
        <v>0</v>
      </c>
      <c r="F147" s="139">
        <v>2011</v>
      </c>
    </row>
    <row r="148" spans="1:6" ht="20.100000000000001" hidden="1" customHeight="1" x14ac:dyDescent="0.25">
      <c r="A148" s="139">
        <v>2011</v>
      </c>
      <c r="B148" s="41">
        <v>1200409.25</v>
      </c>
      <c r="C148" s="41">
        <v>6356120.870000001</v>
      </c>
      <c r="D148" s="41">
        <v>1956014.25</v>
      </c>
      <c r="E148" s="45">
        <f t="shared" si="5"/>
        <v>0</v>
      </c>
      <c r="F148" s="139">
        <v>2011</v>
      </c>
    </row>
    <row r="149" spans="1:6" ht="20.100000000000001" hidden="1" customHeight="1" x14ac:dyDescent="0.25">
      <c r="A149" s="139">
        <v>2011</v>
      </c>
      <c r="B149" s="41"/>
      <c r="C149" s="41"/>
      <c r="D149" s="41"/>
      <c r="E149" s="45">
        <f t="shared" si="5"/>
        <v>0</v>
      </c>
      <c r="F149" s="139">
        <v>2011</v>
      </c>
    </row>
    <row r="150" spans="1:6" ht="20.100000000000001" hidden="1" customHeight="1" x14ac:dyDescent="0.25">
      <c r="A150" s="139">
        <v>2011</v>
      </c>
      <c r="B150" s="41"/>
      <c r="C150" s="41"/>
      <c r="D150" s="41"/>
      <c r="E150" s="45">
        <f t="shared" si="5"/>
        <v>0</v>
      </c>
      <c r="F150" s="139">
        <v>2011</v>
      </c>
    </row>
    <row r="151" spans="1:6" ht="20.100000000000001" hidden="1" customHeight="1" x14ac:dyDescent="0.25">
      <c r="A151" s="139">
        <v>2011</v>
      </c>
      <c r="B151" s="41"/>
      <c r="C151" s="41"/>
      <c r="D151" s="41"/>
      <c r="E151" s="45">
        <f t="shared" si="5"/>
        <v>0</v>
      </c>
      <c r="F151" s="139">
        <v>2011</v>
      </c>
    </row>
    <row r="152" spans="1:6" ht="20.100000000000001" hidden="1" customHeight="1" x14ac:dyDescent="0.25">
      <c r="A152" s="139">
        <v>2011</v>
      </c>
      <c r="B152" s="41">
        <v>18337</v>
      </c>
      <c r="C152" s="41">
        <v>215877</v>
      </c>
      <c r="D152" s="41">
        <v>141230</v>
      </c>
      <c r="E152" s="45">
        <f t="shared" si="5"/>
        <v>0</v>
      </c>
      <c r="F152" s="139">
        <v>2011</v>
      </c>
    </row>
    <row r="153" spans="1:6" ht="20.100000000000001" hidden="1" customHeight="1" x14ac:dyDescent="0.25">
      <c r="A153" s="139">
        <v>2011</v>
      </c>
      <c r="B153" s="41">
        <v>18375</v>
      </c>
      <c r="C153" s="41">
        <v>220605</v>
      </c>
      <c r="D153" s="41">
        <v>136464</v>
      </c>
      <c r="E153" s="45">
        <f t="shared" si="5"/>
        <v>0</v>
      </c>
      <c r="F153" s="139">
        <v>2011</v>
      </c>
    </row>
    <row r="154" spans="1:6" ht="20.100000000000001" hidden="1" customHeight="1" x14ac:dyDescent="0.25">
      <c r="A154" s="139">
        <v>2011</v>
      </c>
      <c r="B154" s="41">
        <v>25844</v>
      </c>
      <c r="C154" s="41">
        <v>210389</v>
      </c>
      <c r="D154" s="41">
        <v>139211</v>
      </c>
      <c r="E154" s="45">
        <f t="shared" si="5"/>
        <v>0</v>
      </c>
      <c r="F154" s="139">
        <v>2011</v>
      </c>
    </row>
    <row r="155" spans="1:6" ht="20.100000000000001" hidden="1" customHeight="1" x14ac:dyDescent="0.25">
      <c r="A155" s="139">
        <v>2011</v>
      </c>
      <c r="B155" s="41">
        <v>32237</v>
      </c>
      <c r="C155" s="41">
        <v>205827</v>
      </c>
      <c r="D155" s="41">
        <v>137380</v>
      </c>
      <c r="E155" s="45">
        <f t="shared" si="5"/>
        <v>0</v>
      </c>
      <c r="F155" s="139">
        <v>2011</v>
      </c>
    </row>
    <row r="156" spans="1:6" ht="20.100000000000001" hidden="1" customHeight="1" x14ac:dyDescent="0.25">
      <c r="A156" s="139">
        <v>2011</v>
      </c>
      <c r="B156" s="41">
        <v>31760</v>
      </c>
      <c r="C156" s="41">
        <v>209978</v>
      </c>
      <c r="D156" s="41">
        <v>133706</v>
      </c>
      <c r="E156" s="45">
        <f t="shared" si="5"/>
        <v>0</v>
      </c>
      <c r="F156" s="139">
        <v>2011</v>
      </c>
    </row>
    <row r="157" spans="1:6" ht="20.100000000000001" hidden="1" customHeight="1" x14ac:dyDescent="0.25">
      <c r="A157" s="139">
        <v>2011</v>
      </c>
      <c r="B157" s="41">
        <v>36110</v>
      </c>
      <c r="C157" s="41">
        <v>203099</v>
      </c>
      <c r="D157" s="41">
        <v>136235</v>
      </c>
      <c r="E157" s="45">
        <f t="shared" si="5"/>
        <v>0</v>
      </c>
      <c r="F157" s="139">
        <v>2011</v>
      </c>
    </row>
    <row r="158" spans="1:6" ht="20.100000000000001" hidden="1" customHeight="1" x14ac:dyDescent="0.25">
      <c r="A158" s="139">
        <v>2011</v>
      </c>
      <c r="B158" s="41">
        <v>23168</v>
      </c>
      <c r="C158" s="41">
        <v>218298</v>
      </c>
      <c r="D158" s="41">
        <v>133978</v>
      </c>
      <c r="E158" s="45">
        <f t="shared" si="5"/>
        <v>0</v>
      </c>
      <c r="F158" s="139">
        <v>2011</v>
      </c>
    </row>
    <row r="159" spans="1:6" ht="20.100000000000001" hidden="1" customHeight="1" x14ac:dyDescent="0.25">
      <c r="A159" s="139">
        <v>2011</v>
      </c>
      <c r="B159" s="41">
        <v>6000</v>
      </c>
      <c r="C159" s="41">
        <v>238019</v>
      </c>
      <c r="D159" s="41">
        <v>131425</v>
      </c>
      <c r="E159" s="45">
        <f t="shared" si="5"/>
        <v>0</v>
      </c>
      <c r="F159" s="139">
        <v>2011</v>
      </c>
    </row>
    <row r="160" spans="1:6" ht="20.100000000000001" hidden="1" customHeight="1" x14ac:dyDescent="0.25">
      <c r="A160" s="139">
        <v>2011</v>
      </c>
      <c r="B160" s="41">
        <v>6000</v>
      </c>
      <c r="C160" s="41">
        <v>237782</v>
      </c>
      <c r="D160" s="41">
        <v>131662</v>
      </c>
      <c r="E160" s="45">
        <f t="shared" si="5"/>
        <v>0</v>
      </c>
      <c r="F160" s="139">
        <v>2011</v>
      </c>
    </row>
    <row r="161" spans="1:6" ht="20.100000000000001" hidden="1" customHeight="1" x14ac:dyDescent="0.25">
      <c r="A161" s="139">
        <v>2011</v>
      </c>
      <c r="B161" s="41">
        <v>8023</v>
      </c>
      <c r="C161" s="41">
        <v>226315</v>
      </c>
      <c r="D161" s="41">
        <v>141106</v>
      </c>
      <c r="E161" s="45">
        <f t="shared" si="5"/>
        <v>0</v>
      </c>
      <c r="F161" s="139">
        <v>2011</v>
      </c>
    </row>
    <row r="162" spans="1:6" ht="20.100000000000001" hidden="1" customHeight="1" x14ac:dyDescent="0.25">
      <c r="A162" s="139">
        <v>2011</v>
      </c>
      <c r="B162" s="41">
        <v>34799</v>
      </c>
      <c r="C162" s="41">
        <v>228947</v>
      </c>
      <c r="D162" s="41">
        <v>141698</v>
      </c>
      <c r="E162" s="45">
        <f t="shared" si="5"/>
        <v>0</v>
      </c>
      <c r="F162" s="139">
        <v>2011</v>
      </c>
    </row>
    <row r="163" spans="1:6" ht="20.100000000000001" hidden="1" customHeight="1" x14ac:dyDescent="0.25">
      <c r="A163" s="139">
        <v>2011</v>
      </c>
      <c r="B163" s="41">
        <v>75445</v>
      </c>
      <c r="C163" s="41">
        <v>208834</v>
      </c>
      <c r="D163" s="41">
        <v>154523</v>
      </c>
      <c r="E163" s="45">
        <f t="shared" si="5"/>
        <v>0</v>
      </c>
      <c r="F163" s="139">
        <v>2011</v>
      </c>
    </row>
    <row r="164" spans="1:6" ht="20.100000000000001" hidden="1" customHeight="1" x14ac:dyDescent="0.25">
      <c r="A164" s="139">
        <v>2011</v>
      </c>
      <c r="B164" s="41"/>
      <c r="C164" s="41"/>
      <c r="D164" s="41"/>
      <c r="E164" s="45">
        <f t="shared" si="5"/>
        <v>0</v>
      </c>
      <c r="F164" s="139">
        <v>2011</v>
      </c>
    </row>
    <row r="165" spans="1:6" ht="20.100000000000001" hidden="1" customHeight="1" x14ac:dyDescent="0.25">
      <c r="A165" s="139">
        <v>2011</v>
      </c>
      <c r="B165" s="5"/>
      <c r="C165" s="41"/>
      <c r="D165" s="41"/>
      <c r="E165" s="45">
        <f t="shared" si="5"/>
        <v>0</v>
      </c>
      <c r="F165" s="139">
        <v>2011</v>
      </c>
    </row>
    <row r="166" spans="1:6" ht="20.100000000000001" hidden="1" customHeight="1" x14ac:dyDescent="0.25">
      <c r="A166" s="139">
        <v>2011</v>
      </c>
      <c r="B166" s="41">
        <v>67023</v>
      </c>
      <c r="C166" s="41">
        <v>213157</v>
      </c>
      <c r="D166" s="41">
        <v>158622</v>
      </c>
      <c r="E166" s="45">
        <f t="shared" si="5"/>
        <v>0</v>
      </c>
      <c r="F166" s="139">
        <v>2011</v>
      </c>
    </row>
    <row r="167" spans="1:6" ht="20.100000000000001" hidden="1" customHeight="1" x14ac:dyDescent="0.25">
      <c r="A167" s="139">
        <v>2011</v>
      </c>
      <c r="B167" s="41">
        <v>60361</v>
      </c>
      <c r="C167" s="41">
        <v>243684</v>
      </c>
      <c r="D167" s="41">
        <v>157633</v>
      </c>
      <c r="E167" s="45">
        <f t="shared" si="5"/>
        <v>0</v>
      </c>
      <c r="F167" s="139">
        <v>2011</v>
      </c>
    </row>
    <row r="168" spans="1:6" ht="20.100000000000001" hidden="1" customHeight="1" x14ac:dyDescent="0.25">
      <c r="A168" s="139">
        <v>2011</v>
      </c>
      <c r="B168" s="41">
        <v>75930</v>
      </c>
      <c r="C168" s="41">
        <v>242241</v>
      </c>
      <c r="D168" s="41">
        <v>161060</v>
      </c>
      <c r="E168" s="45">
        <f t="shared" si="5"/>
        <v>0</v>
      </c>
      <c r="F168" s="139">
        <v>2011</v>
      </c>
    </row>
    <row r="169" spans="1:6" ht="20.100000000000001" hidden="1" customHeight="1" x14ac:dyDescent="0.25">
      <c r="A169" s="139">
        <v>2011</v>
      </c>
      <c r="B169" s="41">
        <v>110852</v>
      </c>
      <c r="C169" s="41">
        <v>212216</v>
      </c>
      <c r="D169" s="41">
        <v>157330</v>
      </c>
      <c r="E169" s="45">
        <f t="shared" si="5"/>
        <v>0</v>
      </c>
      <c r="F169" s="139">
        <v>2011</v>
      </c>
    </row>
    <row r="170" spans="1:6" ht="20.100000000000001" hidden="1" customHeight="1" x14ac:dyDescent="0.25">
      <c r="A170" s="139">
        <v>2011</v>
      </c>
      <c r="B170" s="41">
        <v>121362</v>
      </c>
      <c r="C170" s="41">
        <v>221478</v>
      </c>
      <c r="D170" s="41">
        <v>169019</v>
      </c>
      <c r="E170" s="45">
        <f t="shared" si="5"/>
        <v>0</v>
      </c>
      <c r="F170" s="139">
        <v>2011</v>
      </c>
    </row>
    <row r="171" spans="1:6" ht="20.100000000000001" hidden="1" customHeight="1" x14ac:dyDescent="0.25">
      <c r="A171" s="139">
        <v>2011</v>
      </c>
      <c r="B171" s="41">
        <v>125422</v>
      </c>
      <c r="C171" s="41">
        <v>213796</v>
      </c>
      <c r="D171" s="41">
        <v>152642</v>
      </c>
      <c r="E171" s="45">
        <f t="shared" si="5"/>
        <v>0</v>
      </c>
      <c r="F171" s="139">
        <v>2011</v>
      </c>
    </row>
    <row r="172" spans="1:6" ht="20.100000000000001" hidden="1" customHeight="1" x14ac:dyDescent="0.25">
      <c r="A172" s="139">
        <v>2011</v>
      </c>
      <c r="B172" s="41">
        <v>132431</v>
      </c>
      <c r="C172" s="41">
        <v>211859</v>
      </c>
      <c r="D172" s="41">
        <v>147570</v>
      </c>
      <c r="E172" s="45">
        <f t="shared" si="5"/>
        <v>0</v>
      </c>
      <c r="F172" s="139">
        <v>2011</v>
      </c>
    </row>
    <row r="173" spans="1:6" ht="20.100000000000001" hidden="1" customHeight="1" x14ac:dyDescent="0.25">
      <c r="A173" s="139">
        <v>2011</v>
      </c>
      <c r="B173" s="41">
        <v>113040</v>
      </c>
      <c r="C173" s="41">
        <v>222718</v>
      </c>
      <c r="D173" s="41">
        <v>156102</v>
      </c>
      <c r="E173" s="45">
        <f t="shared" si="5"/>
        <v>0</v>
      </c>
      <c r="F173" s="139">
        <v>2011</v>
      </c>
    </row>
    <row r="174" spans="1:6" ht="20.100000000000001" hidden="1" customHeight="1" x14ac:dyDescent="0.25">
      <c r="A174" s="139">
        <v>2011</v>
      </c>
      <c r="B174" s="41">
        <v>84340</v>
      </c>
      <c r="C174" s="41">
        <v>250010</v>
      </c>
      <c r="D174" s="41">
        <v>157510</v>
      </c>
      <c r="E174" s="45">
        <f t="shared" si="5"/>
        <v>0</v>
      </c>
      <c r="F174" s="139">
        <v>2011</v>
      </c>
    </row>
    <row r="175" spans="1:6" ht="20.100000000000001" hidden="1" customHeight="1" x14ac:dyDescent="0.25">
      <c r="A175" s="139">
        <v>2011</v>
      </c>
      <c r="B175" s="41">
        <v>95872</v>
      </c>
      <c r="C175" s="41">
        <v>225213</v>
      </c>
      <c r="D175" s="41">
        <v>170775</v>
      </c>
      <c r="E175" s="45">
        <f t="shared" si="5"/>
        <v>0</v>
      </c>
      <c r="F175" s="139">
        <v>2011</v>
      </c>
    </row>
    <row r="176" spans="1:6" ht="20.100000000000001" hidden="1" customHeight="1" x14ac:dyDescent="0.25">
      <c r="A176" s="139">
        <v>2011</v>
      </c>
      <c r="B176" s="41">
        <v>70996</v>
      </c>
      <c r="C176" s="41">
        <v>243731</v>
      </c>
      <c r="D176" s="41">
        <v>177133</v>
      </c>
      <c r="E176" s="45">
        <f t="shared" si="5"/>
        <v>0</v>
      </c>
      <c r="F176" s="139">
        <v>2011</v>
      </c>
    </row>
    <row r="177" spans="1:6" ht="20.100000000000001" hidden="1" customHeight="1" x14ac:dyDescent="0.25">
      <c r="A177" s="139">
        <v>2011</v>
      </c>
      <c r="B177" s="41">
        <v>95359</v>
      </c>
      <c r="C177" s="41">
        <v>218240</v>
      </c>
      <c r="D177" s="41">
        <v>178261</v>
      </c>
      <c r="E177" s="45">
        <f t="shared" si="5"/>
        <v>0</v>
      </c>
      <c r="F177" s="139">
        <v>2011</v>
      </c>
    </row>
    <row r="178" spans="1:6" ht="20.100000000000001" hidden="1" customHeight="1" x14ac:dyDescent="0.25">
      <c r="A178" s="139">
        <v>2011</v>
      </c>
      <c r="B178" s="41"/>
      <c r="C178" s="41"/>
      <c r="D178" s="41"/>
      <c r="E178" s="45">
        <f t="shared" si="5"/>
        <v>0</v>
      </c>
      <c r="F178" s="139">
        <v>2011</v>
      </c>
    </row>
    <row r="179" spans="1:6" ht="20.100000000000001" customHeight="1" x14ac:dyDescent="0.25">
      <c r="A179" s="139">
        <v>2012</v>
      </c>
      <c r="B179" s="41">
        <f>B281</f>
        <v>15351.05</v>
      </c>
      <c r="C179" s="41">
        <f t="shared" ref="C179:E179" si="6">C281</f>
        <v>738331.85</v>
      </c>
      <c r="D179" s="41">
        <f t="shared" si="6"/>
        <v>270468.75</v>
      </c>
      <c r="E179" s="41">
        <f t="shared" si="6"/>
        <v>1024151.65</v>
      </c>
      <c r="F179" s="139">
        <v>2012</v>
      </c>
    </row>
    <row r="180" spans="1:6" ht="20.100000000000001" hidden="1" customHeight="1" x14ac:dyDescent="0.25">
      <c r="A180" s="145">
        <v>2011.0588235294099</v>
      </c>
      <c r="B180" s="5"/>
      <c r="C180" s="41"/>
      <c r="D180" s="41"/>
      <c r="E180" s="39"/>
      <c r="F180" s="139">
        <v>2011</v>
      </c>
    </row>
    <row r="181" spans="1:6" ht="20.100000000000001" hidden="1" customHeight="1" x14ac:dyDescent="0.25">
      <c r="A181" s="145">
        <v>2011.06010230179</v>
      </c>
      <c r="B181" s="41">
        <v>52093</v>
      </c>
      <c r="C181" s="41">
        <v>250735</v>
      </c>
      <c r="D181" s="41">
        <v>191803</v>
      </c>
      <c r="E181" s="39">
        <f t="shared" ref="E181:E192" si="7">B181+C181+D181</f>
        <v>494631</v>
      </c>
      <c r="F181" s="139">
        <v>2011</v>
      </c>
    </row>
    <row r="182" spans="1:6" ht="20.100000000000001" hidden="1" customHeight="1" x14ac:dyDescent="0.25">
      <c r="A182" s="145">
        <v>2011.06138107417</v>
      </c>
      <c r="B182" s="41">
        <v>42952</v>
      </c>
      <c r="C182" s="41">
        <v>250561</v>
      </c>
      <c r="D182" s="41">
        <v>203118</v>
      </c>
      <c r="E182" s="39">
        <f t="shared" si="7"/>
        <v>496631</v>
      </c>
      <c r="F182" s="139">
        <v>2011</v>
      </c>
    </row>
    <row r="183" spans="1:6" ht="20.100000000000001" hidden="1" customHeight="1" x14ac:dyDescent="0.25">
      <c r="A183" s="145">
        <v>2011.0626598465501</v>
      </c>
      <c r="B183" s="41">
        <v>52140</v>
      </c>
      <c r="C183" s="41">
        <v>260275</v>
      </c>
      <c r="D183" s="41">
        <v>186216</v>
      </c>
      <c r="E183" s="39">
        <f t="shared" si="7"/>
        <v>498631</v>
      </c>
      <c r="F183" s="139">
        <v>2011</v>
      </c>
    </row>
    <row r="184" spans="1:6" ht="20.100000000000001" hidden="1" customHeight="1" x14ac:dyDescent="0.25">
      <c r="A184" s="145">
        <v>2011.06393861893</v>
      </c>
      <c r="B184" s="41">
        <v>40324</v>
      </c>
      <c r="C184" s="41">
        <v>261650</v>
      </c>
      <c r="D184" s="41">
        <v>197957</v>
      </c>
      <c r="E184" s="39">
        <f t="shared" si="7"/>
        <v>499931</v>
      </c>
      <c r="F184" s="139">
        <v>2011</v>
      </c>
    </row>
    <row r="185" spans="1:6" ht="20.100000000000001" hidden="1" customHeight="1" x14ac:dyDescent="0.25">
      <c r="A185" s="145">
        <v>2011.0652173912999</v>
      </c>
      <c r="B185" s="41">
        <v>26109</v>
      </c>
      <c r="C185" s="41">
        <v>267523</v>
      </c>
      <c r="D185" s="41">
        <v>206299</v>
      </c>
      <c r="E185" s="39">
        <f t="shared" si="7"/>
        <v>499931</v>
      </c>
      <c r="F185" s="139">
        <v>2011</v>
      </c>
    </row>
    <row r="186" spans="1:6" ht="20.100000000000001" hidden="1" customHeight="1" x14ac:dyDescent="0.25">
      <c r="A186" s="145">
        <v>2011.0664961636801</v>
      </c>
      <c r="B186" s="41">
        <v>22023</v>
      </c>
      <c r="C186" s="41">
        <v>288161</v>
      </c>
      <c r="D186" s="41">
        <v>191247</v>
      </c>
      <c r="E186" s="39">
        <f t="shared" si="7"/>
        <v>501431</v>
      </c>
      <c r="F186" s="139">
        <v>2011</v>
      </c>
    </row>
    <row r="187" spans="1:6" ht="20.100000000000001" hidden="1" customHeight="1" x14ac:dyDescent="0.25">
      <c r="A187" s="145">
        <v>2011.06777493606</v>
      </c>
      <c r="B187" s="41">
        <f>4728+1530</f>
        <v>6258</v>
      </c>
      <c r="C187" s="41">
        <f>307898+5500+11372</f>
        <v>324770</v>
      </c>
      <c r="D187" s="41">
        <f>170104+2100+1699</f>
        <v>173903</v>
      </c>
      <c r="E187" s="39">
        <f t="shared" si="7"/>
        <v>504931</v>
      </c>
      <c r="F187" s="139">
        <v>2011</v>
      </c>
    </row>
    <row r="188" spans="1:6" ht="20.100000000000001" hidden="1" customHeight="1" x14ac:dyDescent="0.25">
      <c r="A188" s="145">
        <v>2011.0690537084399</v>
      </c>
      <c r="B188" s="41">
        <v>2009</v>
      </c>
      <c r="C188" s="41">
        <f>273239+7643+35318+24137</f>
        <v>340337</v>
      </c>
      <c r="D188" s="41">
        <f>149971+98442+11374+8883</f>
        <v>268670</v>
      </c>
      <c r="E188" s="39">
        <f t="shared" si="7"/>
        <v>611016</v>
      </c>
      <c r="F188" s="139">
        <v>2011</v>
      </c>
    </row>
    <row r="189" spans="1:6" ht="20.100000000000001" hidden="1" customHeight="1" x14ac:dyDescent="0.25">
      <c r="A189" s="145">
        <v>2011.0703324808201</v>
      </c>
      <c r="B189" s="41">
        <v>103</v>
      </c>
      <c r="C189" s="41">
        <f>285496+41299+30860</f>
        <v>357655</v>
      </c>
      <c r="D189" s="41">
        <f>136979+11444+13750</f>
        <v>162173</v>
      </c>
      <c r="E189" s="39">
        <f t="shared" si="7"/>
        <v>519931</v>
      </c>
      <c r="F189" s="139">
        <v>2011</v>
      </c>
    </row>
    <row r="190" spans="1:6" ht="20.100000000000001" hidden="1" customHeight="1" x14ac:dyDescent="0.25">
      <c r="A190" s="145">
        <v>2011.0716112532</v>
      </c>
      <c r="B190" s="41">
        <f>6+22</f>
        <v>28</v>
      </c>
      <c r="C190" s="41">
        <f>277682+7640+53692+38262</f>
        <v>377276</v>
      </c>
      <c r="D190" s="41">
        <f>126963+18045+25258</f>
        <v>170266</v>
      </c>
      <c r="E190" s="39">
        <f t="shared" si="7"/>
        <v>547570</v>
      </c>
      <c r="F190" s="139">
        <v>2011</v>
      </c>
    </row>
    <row r="191" spans="1:6" ht="20.100000000000001" hidden="1" customHeight="1" x14ac:dyDescent="0.25">
      <c r="A191" s="145">
        <v>2011.0728900255799</v>
      </c>
      <c r="B191" s="41">
        <f>200+2500+4398.25</f>
        <v>7098.25</v>
      </c>
      <c r="C191" s="41">
        <f>283657.3+5933.05+53692.4</f>
        <v>343282.75</v>
      </c>
      <c r="D191" s="41">
        <f>99225.3+25526.2+27863.2</f>
        <v>152614.70000000001</v>
      </c>
      <c r="E191" s="39">
        <f t="shared" si="7"/>
        <v>502995.7</v>
      </c>
      <c r="F191" s="139">
        <v>2011</v>
      </c>
    </row>
    <row r="192" spans="1:6" ht="20.100000000000001" hidden="1" customHeight="1" x14ac:dyDescent="0.25">
      <c r="A192" s="145">
        <v>2011.0741687979501</v>
      </c>
      <c r="B192" s="41">
        <f>25963.6+15700+63.25</f>
        <v>41726.85</v>
      </c>
      <c r="C192" s="41">
        <f>259495.85+63524.9+69751.35</f>
        <v>392772.1</v>
      </c>
      <c r="D192" s="41">
        <f>96550.65+26066.2+28773.6</f>
        <v>151390.44999999998</v>
      </c>
      <c r="E192" s="39">
        <f t="shared" si="7"/>
        <v>585889.39999999991</v>
      </c>
      <c r="F192" s="139">
        <v>2011</v>
      </c>
    </row>
    <row r="193" spans="1:6" ht="20.100000000000001" hidden="1" customHeight="1" x14ac:dyDescent="0.25">
      <c r="A193" s="145">
        <v>2011.07544757033</v>
      </c>
      <c r="B193" s="138">
        <f>B183</f>
        <v>52140</v>
      </c>
      <c r="C193" s="138">
        <f>C183</f>
        <v>260275</v>
      </c>
      <c r="D193" s="138">
        <f>D183</f>
        <v>186216</v>
      </c>
      <c r="E193" s="138">
        <f>E183</f>
        <v>498631</v>
      </c>
      <c r="F193" s="139">
        <v>2011</v>
      </c>
    </row>
    <row r="194" spans="1:6" ht="20.100000000000001" hidden="1" customHeight="1" x14ac:dyDescent="0.25">
      <c r="A194" s="145">
        <v>2011.0767263427099</v>
      </c>
      <c r="B194" s="138">
        <f>B186</f>
        <v>22023</v>
      </c>
      <c r="C194" s="138">
        <f>C186</f>
        <v>288161</v>
      </c>
      <c r="D194" s="138">
        <f>D186</f>
        <v>191247</v>
      </c>
      <c r="E194" s="138">
        <f>E186</f>
        <v>501431</v>
      </c>
      <c r="F194" s="139">
        <v>2011</v>
      </c>
    </row>
    <row r="195" spans="1:6" ht="20.100000000000001" hidden="1" customHeight="1" x14ac:dyDescent="0.25">
      <c r="A195" s="145">
        <v>2011.07800511509</v>
      </c>
      <c r="B195" s="138">
        <f>B189</f>
        <v>103</v>
      </c>
      <c r="C195" s="138">
        <f>C189</f>
        <v>357655</v>
      </c>
      <c r="D195" s="138">
        <f>D189</f>
        <v>162173</v>
      </c>
      <c r="E195" s="138">
        <f>E189</f>
        <v>519931</v>
      </c>
      <c r="F195" s="139">
        <v>2011</v>
      </c>
    </row>
    <row r="196" spans="1:6" ht="20.100000000000001" hidden="1" customHeight="1" x14ac:dyDescent="0.25">
      <c r="A196" s="145">
        <v>2011.07928388747</v>
      </c>
      <c r="B196" s="138">
        <f>B192</f>
        <v>41726.85</v>
      </c>
      <c r="C196" s="138">
        <f>C192</f>
        <v>392772.1</v>
      </c>
      <c r="D196" s="138">
        <f>D192</f>
        <v>151390.44999999998</v>
      </c>
      <c r="E196" s="138">
        <f>E192</f>
        <v>585889.39999999991</v>
      </c>
      <c r="F196" s="139">
        <v>2011</v>
      </c>
    </row>
    <row r="197" spans="1:6" ht="20.100000000000001" hidden="1" customHeight="1" x14ac:dyDescent="0.25">
      <c r="A197" s="145">
        <v>2011.0805626598501</v>
      </c>
      <c r="B197" s="41"/>
      <c r="C197" s="41"/>
      <c r="D197" s="41"/>
      <c r="E197" s="41"/>
      <c r="F197" s="139">
        <v>2011</v>
      </c>
    </row>
    <row r="198" spans="1:6" ht="20.100000000000001" hidden="1" customHeight="1" x14ac:dyDescent="0.25">
      <c r="A198" s="145">
        <v>2011.08184143223</v>
      </c>
      <c r="B198" s="41"/>
      <c r="C198" s="42"/>
      <c r="D198" s="42"/>
      <c r="E198" s="26"/>
      <c r="F198" s="139">
        <v>2011</v>
      </c>
    </row>
    <row r="199" spans="1:6" ht="20.100000000000001" hidden="1" customHeight="1" x14ac:dyDescent="0.25">
      <c r="A199" s="145">
        <v>2011.0831202045999</v>
      </c>
      <c r="B199" s="41">
        <v>38441.15</v>
      </c>
      <c r="C199" s="42">
        <v>403090.7</v>
      </c>
      <c r="D199" s="42">
        <v>149237.54999999999</v>
      </c>
      <c r="E199" s="39">
        <f t="shared" ref="E199:E212" si="8">B199+C199+D199</f>
        <v>590769.4</v>
      </c>
      <c r="F199" s="139">
        <v>2011</v>
      </c>
    </row>
    <row r="200" spans="1:6" ht="20.100000000000001" hidden="1" customHeight="1" x14ac:dyDescent="0.25">
      <c r="A200" s="145">
        <v>2011.0843989769801</v>
      </c>
      <c r="B200" s="41">
        <v>48384.6</v>
      </c>
      <c r="C200" s="42">
        <v>405836.75</v>
      </c>
      <c r="D200" s="42">
        <v>145040.29999999999</v>
      </c>
      <c r="E200" s="39">
        <f t="shared" si="8"/>
        <v>599261.64999999991</v>
      </c>
      <c r="F200" s="139">
        <v>2011</v>
      </c>
    </row>
    <row r="201" spans="1:6" ht="20.100000000000001" hidden="1" customHeight="1" x14ac:dyDescent="0.25">
      <c r="A201" s="145">
        <v>2011.08567774936</v>
      </c>
      <c r="B201" s="41">
        <v>55103.5</v>
      </c>
      <c r="C201" s="42">
        <v>402717.5</v>
      </c>
      <c r="D201" s="42">
        <v>144375.70000000001</v>
      </c>
      <c r="E201" s="39">
        <f t="shared" si="8"/>
        <v>602196.69999999995</v>
      </c>
      <c r="F201" s="139">
        <v>2011</v>
      </c>
    </row>
    <row r="202" spans="1:6" ht="20.100000000000001" hidden="1" customHeight="1" x14ac:dyDescent="0.25">
      <c r="A202" s="145">
        <v>2011.0869565217399</v>
      </c>
      <c r="B202" s="41">
        <v>52328.15</v>
      </c>
      <c r="C202" s="42">
        <v>413197.1</v>
      </c>
      <c r="D202" s="42">
        <v>141671.45000000001</v>
      </c>
      <c r="E202" s="39">
        <f t="shared" si="8"/>
        <v>607196.69999999995</v>
      </c>
      <c r="F202" s="139">
        <v>2011</v>
      </c>
    </row>
    <row r="203" spans="1:6" ht="20.100000000000001" hidden="1" customHeight="1" x14ac:dyDescent="0.25">
      <c r="A203" s="145">
        <v>2011.0882352941201</v>
      </c>
      <c r="B203" s="41">
        <v>60842.9</v>
      </c>
      <c r="C203" s="42">
        <v>402599.3</v>
      </c>
      <c r="D203" s="42">
        <v>143754.5</v>
      </c>
      <c r="E203" s="39">
        <f t="shared" si="8"/>
        <v>607196.69999999995</v>
      </c>
      <c r="F203" s="139">
        <v>2011</v>
      </c>
    </row>
    <row r="204" spans="1:6" ht="20.100000000000001" hidden="1" customHeight="1" x14ac:dyDescent="0.25">
      <c r="A204" s="145">
        <v>2011.0895140665</v>
      </c>
      <c r="B204" s="41">
        <v>57725.55</v>
      </c>
      <c r="C204" s="42">
        <v>403171.95</v>
      </c>
      <c r="D204" s="42">
        <v>151299.20000000001</v>
      </c>
      <c r="E204" s="39">
        <f t="shared" si="8"/>
        <v>612196.69999999995</v>
      </c>
      <c r="F204" s="139">
        <v>2011</v>
      </c>
    </row>
    <row r="205" spans="1:6" ht="20.100000000000001" hidden="1" customHeight="1" x14ac:dyDescent="0.25">
      <c r="A205" s="145">
        <v>2011.0907928388699</v>
      </c>
      <c r="B205" s="41">
        <f>26124+19803+9266</f>
        <v>55193</v>
      </c>
      <c r="C205" s="42">
        <f>200288+77606+135868</f>
        <v>413762</v>
      </c>
      <c r="D205" s="42">
        <f>83499+27347+34892</f>
        <v>145738</v>
      </c>
      <c r="E205" s="39">
        <f t="shared" si="8"/>
        <v>614693</v>
      </c>
      <c r="F205" s="139">
        <v>2011</v>
      </c>
    </row>
    <row r="206" spans="1:6" ht="20.100000000000001" hidden="1" customHeight="1" x14ac:dyDescent="0.25">
      <c r="A206" s="145">
        <v>2011.09207161125</v>
      </c>
      <c r="B206" s="41">
        <f>4758+20796+9322</f>
        <v>34876</v>
      </c>
      <c r="C206" s="42">
        <f>213753+66339+156807</f>
        <v>436899</v>
      </c>
      <c r="D206" s="42">
        <f>86272+31621+30025</f>
        <v>147918</v>
      </c>
      <c r="E206" s="39">
        <f t="shared" si="8"/>
        <v>619693</v>
      </c>
      <c r="F206" s="139">
        <v>2011</v>
      </c>
    </row>
    <row r="207" spans="1:6" ht="20.100000000000001" hidden="1" customHeight="1" x14ac:dyDescent="0.25">
      <c r="A207" s="145">
        <v>2011.09335038363</v>
      </c>
      <c r="B207" s="41">
        <f>7599+22448+10723</f>
        <v>40770</v>
      </c>
      <c r="C207" s="42">
        <f>206034+65339+163265</f>
        <v>434638</v>
      </c>
      <c r="D207" s="42">
        <f>83832+30970+29484</f>
        <v>144286</v>
      </c>
      <c r="E207" s="39">
        <f t="shared" si="8"/>
        <v>619694</v>
      </c>
      <c r="F207" s="139">
        <v>2011</v>
      </c>
    </row>
    <row r="208" spans="1:6" ht="20.100000000000001" hidden="1" customHeight="1" x14ac:dyDescent="0.25">
      <c r="A208" s="145">
        <v>2011.0946291560099</v>
      </c>
      <c r="B208" s="41">
        <f>14727+24984+14555</f>
        <v>54266</v>
      </c>
      <c r="C208" s="42">
        <f>182233+66544+172528</f>
        <v>421305</v>
      </c>
      <c r="D208" s="42">
        <f>81141+32776+30209</f>
        <v>144126</v>
      </c>
      <c r="E208" s="39">
        <f t="shared" si="8"/>
        <v>619697</v>
      </c>
      <c r="F208" s="139">
        <v>2011</v>
      </c>
    </row>
    <row r="209" spans="1:6" ht="20.100000000000001" hidden="1" customHeight="1" x14ac:dyDescent="0.25">
      <c r="A209" s="145">
        <v>2011.09590792839</v>
      </c>
      <c r="B209" s="41">
        <f>34071+33432+22183</f>
        <v>89686</v>
      </c>
      <c r="C209" s="42">
        <f>166380+64544+163516</f>
        <v>394440</v>
      </c>
      <c r="D209" s="42">
        <f>82649+26328+31592</f>
        <v>140569</v>
      </c>
      <c r="E209" s="39">
        <f t="shared" si="8"/>
        <v>624695</v>
      </c>
      <c r="F209" s="139">
        <v>2011</v>
      </c>
    </row>
    <row r="210" spans="1:6" ht="20.100000000000001" hidden="1" customHeight="1" x14ac:dyDescent="0.25">
      <c r="A210" s="145">
        <v>2011.09718670077</v>
      </c>
      <c r="B210" s="41">
        <f>63477+45140+55846</f>
        <v>164463</v>
      </c>
      <c r="C210" s="42">
        <f>147315+56610+155064</f>
        <v>358989</v>
      </c>
      <c r="D210" s="42">
        <f>74940+22554+31022</f>
        <v>128516</v>
      </c>
      <c r="E210" s="39">
        <f t="shared" si="8"/>
        <v>651968</v>
      </c>
      <c r="F210" s="139">
        <v>2011</v>
      </c>
    </row>
    <row r="211" spans="1:6" ht="20.100000000000001" hidden="1" customHeight="1" x14ac:dyDescent="0.25">
      <c r="A211" s="145">
        <v>2011.0984654731501</v>
      </c>
      <c r="B211" s="41">
        <f>SUM(B199:B210)</f>
        <v>752079.85</v>
      </c>
      <c r="C211" s="41">
        <f>SUM(C199:C210)</f>
        <v>4890646.3</v>
      </c>
      <c r="D211" s="41">
        <f>SUM(D199:D210)</f>
        <v>1726531.7</v>
      </c>
      <c r="E211" s="39">
        <f t="shared" si="8"/>
        <v>7369257.8499999996</v>
      </c>
      <c r="F211" s="139">
        <v>2011</v>
      </c>
    </row>
    <row r="212" spans="1:6" ht="20.100000000000001" hidden="1" customHeight="1" x14ac:dyDescent="0.25">
      <c r="A212" s="145">
        <v>2011.09974424552</v>
      </c>
      <c r="B212" s="41"/>
      <c r="C212" s="41"/>
      <c r="D212" s="41"/>
      <c r="E212" s="39">
        <f t="shared" si="8"/>
        <v>0</v>
      </c>
      <c r="F212" s="139">
        <v>2011</v>
      </c>
    </row>
    <row r="213" spans="1:6" ht="20.100000000000001" hidden="1" customHeight="1" x14ac:dyDescent="0.25">
      <c r="A213" s="145">
        <v>2011.1010230178999</v>
      </c>
      <c r="B213" s="41">
        <f>B201</f>
        <v>55103.5</v>
      </c>
      <c r="C213" s="41">
        <f>C201</f>
        <v>402717.5</v>
      </c>
      <c r="D213" s="41">
        <f>D201</f>
        <v>144375.70000000001</v>
      </c>
      <c r="E213" s="41">
        <f>E201</f>
        <v>602196.69999999995</v>
      </c>
      <c r="F213" s="139">
        <v>2011</v>
      </c>
    </row>
    <row r="214" spans="1:6" ht="20.100000000000001" hidden="1" customHeight="1" x14ac:dyDescent="0.25">
      <c r="A214" s="145">
        <v>2011.1023017902801</v>
      </c>
      <c r="B214" s="41">
        <f>B204</f>
        <v>57725.55</v>
      </c>
      <c r="C214" s="41">
        <f>C204</f>
        <v>403171.95</v>
      </c>
      <c r="D214" s="41">
        <f>D204</f>
        <v>151299.20000000001</v>
      </c>
      <c r="E214" s="41">
        <f>E204</f>
        <v>612196.69999999995</v>
      </c>
      <c r="F214" s="139">
        <v>2011</v>
      </c>
    </row>
    <row r="215" spans="1:6" ht="20.100000000000001" hidden="1" customHeight="1" x14ac:dyDescent="0.25">
      <c r="A215" s="145">
        <v>2011.10358056266</v>
      </c>
      <c r="B215" s="41">
        <f>B207</f>
        <v>40770</v>
      </c>
      <c r="C215" s="41">
        <f>C207</f>
        <v>434638</v>
      </c>
      <c r="D215" s="41">
        <f>D207</f>
        <v>144286</v>
      </c>
      <c r="E215" s="41">
        <f>E207</f>
        <v>619694</v>
      </c>
      <c r="F215" s="139">
        <v>2011</v>
      </c>
    </row>
    <row r="216" spans="1:6" ht="20.100000000000001" hidden="1" customHeight="1" x14ac:dyDescent="0.25">
      <c r="A216" s="145">
        <v>2011.1048593350399</v>
      </c>
      <c r="B216" s="41">
        <f>B210</f>
        <v>164463</v>
      </c>
      <c r="C216" s="41">
        <f>C210</f>
        <v>358989</v>
      </c>
      <c r="D216" s="41">
        <f>D210</f>
        <v>128516</v>
      </c>
      <c r="E216" s="41">
        <f>E210</f>
        <v>651968</v>
      </c>
      <c r="F216" s="139">
        <v>2011</v>
      </c>
    </row>
    <row r="217" spans="1:6" ht="20.100000000000001" hidden="1" customHeight="1" x14ac:dyDescent="0.25">
      <c r="A217" s="145">
        <v>2011.1061381074201</v>
      </c>
      <c r="B217" s="41"/>
      <c r="C217" s="42"/>
      <c r="D217" s="42"/>
      <c r="E217" s="39"/>
      <c r="F217" s="139">
        <v>2011</v>
      </c>
    </row>
    <row r="218" spans="1:6" ht="20.100000000000001" hidden="1" customHeight="1" x14ac:dyDescent="0.25">
      <c r="A218" s="145">
        <v>2011.1074168798</v>
      </c>
      <c r="B218" s="41"/>
      <c r="C218" s="42"/>
      <c r="D218" s="42"/>
      <c r="E218" s="39"/>
      <c r="F218" s="139">
        <v>2011</v>
      </c>
    </row>
    <row r="219" spans="1:6" ht="20.100000000000001" hidden="1" customHeight="1" x14ac:dyDescent="0.25">
      <c r="A219" s="145">
        <v>2011.1086956521699</v>
      </c>
      <c r="B219" s="41">
        <f>51334+49139.7+63444.55</f>
        <v>163918.25</v>
      </c>
      <c r="C219" s="42">
        <f>159572.15+45407.65+152105.05</f>
        <v>357084.85</v>
      </c>
      <c r="D219" s="42">
        <f>77838.85+21634.1+31492.45</f>
        <v>130965.40000000001</v>
      </c>
      <c r="E219" s="39">
        <f t="shared" ref="E219:E230" si="9">B219+C219+D219</f>
        <v>651968.5</v>
      </c>
      <c r="F219" s="139">
        <v>2011</v>
      </c>
    </row>
    <row r="220" spans="1:6" ht="20.100000000000001" hidden="1" customHeight="1" x14ac:dyDescent="0.25">
      <c r="A220" s="145">
        <v>2011.10997442455</v>
      </c>
      <c r="B220" s="41">
        <f>31658.3+62989.8+68982.4</f>
        <v>163630.5</v>
      </c>
      <c r="C220" s="42">
        <f>182741.75+29996.55+145311.15</f>
        <v>358049.44999999995</v>
      </c>
      <c r="D220" s="42">
        <f>76438.05+18767.2+35083.3</f>
        <v>130288.55</v>
      </c>
      <c r="E220" s="39">
        <f t="shared" si="9"/>
        <v>651968.5</v>
      </c>
      <c r="F220" s="139">
        <v>2011</v>
      </c>
    </row>
    <row r="221" spans="1:6" ht="20.100000000000001" hidden="1" customHeight="1" x14ac:dyDescent="0.25">
      <c r="A221" s="145">
        <v>2011.11125319693</v>
      </c>
      <c r="B221" s="41">
        <f>28229.7+63276.4+74190.45</f>
        <v>165696.54999999999</v>
      </c>
      <c r="C221" s="42">
        <f>177507.45+27996.55+141357.6</f>
        <v>346861.6</v>
      </c>
      <c r="D221" s="42">
        <f>85100.95+20480.6+33828.8</f>
        <v>139410.34999999998</v>
      </c>
      <c r="E221" s="39">
        <f t="shared" si="9"/>
        <v>651968.5</v>
      </c>
      <c r="F221" s="139">
        <v>2011</v>
      </c>
    </row>
    <row r="222" spans="1:6" ht="22.5" hidden="1" customHeight="1" x14ac:dyDescent="0.25">
      <c r="A222" s="145">
        <v>2011.1125319693101</v>
      </c>
      <c r="B222" s="41">
        <v>166136.6</v>
      </c>
      <c r="C222" s="128">
        <f>176402.2+34796.55+131900.1</f>
        <v>343098.85</v>
      </c>
      <c r="D222" s="128">
        <f>88470.5+20135.5+34127.05</f>
        <v>142733.04999999999</v>
      </c>
      <c r="E222" s="39">
        <f t="shared" si="9"/>
        <v>651968.5</v>
      </c>
      <c r="F222" s="139">
        <v>2011</v>
      </c>
    </row>
    <row r="223" spans="1:6" ht="24" hidden="1" customHeight="1" x14ac:dyDescent="0.25">
      <c r="A223" s="145">
        <v>2011.11381074169</v>
      </c>
      <c r="B223" s="41">
        <v>152799.65</v>
      </c>
      <c r="C223" s="128">
        <f>176139.7+49802.9+141190.75</f>
        <v>367133.35</v>
      </c>
      <c r="D223" s="128">
        <f>85004.75+17424.6+34605.85</f>
        <v>137035.20000000001</v>
      </c>
      <c r="E223" s="39">
        <f t="shared" si="9"/>
        <v>656968.19999999995</v>
      </c>
      <c r="F223" s="139">
        <v>2011</v>
      </c>
    </row>
    <row r="224" spans="1:6" ht="24" hidden="1" customHeight="1" x14ac:dyDescent="0.25">
      <c r="A224" s="145">
        <v>2011.11508951407</v>
      </c>
      <c r="B224" s="41">
        <v>116813.84999999999</v>
      </c>
      <c r="C224" s="128">
        <f>72990.3+102664.45+84302.9+147130.35</f>
        <v>407088</v>
      </c>
      <c r="D224" s="128">
        <f>60076.3+27317.9+24767.55+40383.9</f>
        <v>152545.65000000002</v>
      </c>
      <c r="E224" s="39">
        <f t="shared" si="9"/>
        <v>676447.5</v>
      </c>
      <c r="F224" s="139">
        <v>2011</v>
      </c>
    </row>
    <row r="225" spans="1:6" ht="24" hidden="1" customHeight="1" x14ac:dyDescent="0.25">
      <c r="A225" s="145">
        <v>2011.1163682864501</v>
      </c>
      <c r="B225" s="41">
        <f>17062.75+22317.1+79505.15</f>
        <v>118885</v>
      </c>
      <c r="C225" s="128">
        <f>170510.3+121921.9+149483.7</f>
        <v>441915.89999999997</v>
      </c>
      <c r="D225" s="128">
        <f>83003.2+24795.55+40348.15</f>
        <v>148146.9</v>
      </c>
      <c r="E225" s="39">
        <f t="shared" si="9"/>
        <v>708947.79999999993</v>
      </c>
      <c r="F225" s="139">
        <v>2011</v>
      </c>
    </row>
    <row r="226" spans="1:6" ht="24" hidden="1" customHeight="1" x14ac:dyDescent="0.25">
      <c r="A226" s="145">
        <v>2011.11764705882</v>
      </c>
      <c r="B226" s="41">
        <f>17512.75+7284.25+82485.95</f>
        <v>107282.95</v>
      </c>
      <c r="C226" s="128">
        <f>178066.35+180384.7+123780.15</f>
        <v>482231.20000000007</v>
      </c>
      <c r="D226" s="128">
        <f>90939.6+24041.15+40520.25</f>
        <v>155501</v>
      </c>
      <c r="E226" s="39">
        <f t="shared" si="9"/>
        <v>745015.15</v>
      </c>
      <c r="F226" s="139">
        <v>2011</v>
      </c>
    </row>
    <row r="227" spans="1:6" ht="24" hidden="1" customHeight="1" x14ac:dyDescent="0.25">
      <c r="A227" s="145">
        <v>2011.1189258311999</v>
      </c>
      <c r="B227" s="41">
        <f>25169.45+2379.5+90458.15</f>
        <v>118007.09999999999</v>
      </c>
      <c r="C227" s="128">
        <f>160826.35+198963.95+112598.95</f>
        <v>472389.25000000006</v>
      </c>
      <c r="D227" s="128">
        <f>93328.1+23528.25+41695.1</f>
        <v>158551.45000000001</v>
      </c>
      <c r="E227" s="39">
        <f t="shared" si="9"/>
        <v>748947.8</v>
      </c>
      <c r="F227" s="139">
        <v>2011</v>
      </c>
    </row>
    <row r="228" spans="1:6" ht="24" hidden="1" customHeight="1" x14ac:dyDescent="0.25">
      <c r="A228" s="145">
        <v>2011.1202046035801</v>
      </c>
      <c r="B228" s="41">
        <f>34193.05+2379.5+102189.6</f>
        <v>138762.15000000002</v>
      </c>
      <c r="C228" s="128">
        <f>151644.45+203163.95+100435</f>
        <v>455243.4</v>
      </c>
      <c r="D228" s="128">
        <f>96167.85+23283.85+35490.55</f>
        <v>154942.25</v>
      </c>
      <c r="E228" s="39">
        <f t="shared" si="9"/>
        <v>748947.8</v>
      </c>
      <c r="F228" s="139">
        <v>2011</v>
      </c>
    </row>
    <row r="229" spans="1:6" ht="24" hidden="1" customHeight="1" x14ac:dyDescent="0.25">
      <c r="A229" s="145">
        <v>2011.12148337596</v>
      </c>
      <c r="B229" s="41">
        <f>35081.55+2387.5+108848.55</f>
        <v>146317.6</v>
      </c>
      <c r="C229" s="128">
        <f>165491.05+202157.6+90070.1</f>
        <v>457718.75</v>
      </c>
      <c r="D229" s="128">
        <f>92350.25+25395.8+33572.9</f>
        <v>151318.95000000001</v>
      </c>
      <c r="E229" s="39">
        <f t="shared" si="9"/>
        <v>755355.3</v>
      </c>
      <c r="F229" s="139">
        <v>2011</v>
      </c>
    </row>
    <row r="230" spans="1:6" ht="24" hidden="1" customHeight="1" x14ac:dyDescent="0.25">
      <c r="A230" s="145">
        <v>2011.1227621483399</v>
      </c>
      <c r="B230" s="41">
        <f>27024.6+15008.55+107355.55</f>
        <v>149388.70000000001</v>
      </c>
      <c r="C230" s="128">
        <f>172627.95+212546.75+89070.1</f>
        <v>474244.80000000005</v>
      </c>
      <c r="D230" s="128">
        <f>91651.1+21667.05+34101.7</f>
        <v>147419.85</v>
      </c>
      <c r="E230" s="39">
        <f t="shared" si="9"/>
        <v>771053.35</v>
      </c>
      <c r="F230" s="139">
        <v>2011</v>
      </c>
    </row>
    <row r="231" spans="1:6" ht="24" customHeight="1" x14ac:dyDescent="0.25">
      <c r="A231" s="91">
        <v>2013</v>
      </c>
      <c r="B231" s="41">
        <f>B319</f>
        <v>94619.550000000017</v>
      </c>
      <c r="C231" s="41">
        <f t="shared" ref="C231:E231" si="10">C319</f>
        <v>1070118.8999999999</v>
      </c>
      <c r="D231" s="41">
        <f t="shared" si="10"/>
        <v>78138.55</v>
      </c>
      <c r="E231" s="41">
        <f t="shared" si="10"/>
        <v>1242877</v>
      </c>
      <c r="F231" s="91">
        <v>2013</v>
      </c>
    </row>
    <row r="232" spans="1:6" ht="24" customHeight="1" x14ac:dyDescent="0.25">
      <c r="A232" s="91">
        <v>2014</v>
      </c>
      <c r="B232" s="41">
        <f>B333</f>
        <v>44864.899999999994</v>
      </c>
      <c r="C232" s="41">
        <f t="shared" ref="C232:E232" si="11">C333</f>
        <v>1590835.5</v>
      </c>
      <c r="D232" s="41">
        <f t="shared" si="11"/>
        <v>1412026.2</v>
      </c>
      <c r="E232" s="41">
        <f t="shared" si="11"/>
        <v>3047726.5999999996</v>
      </c>
      <c r="F232" s="91">
        <v>2014</v>
      </c>
    </row>
    <row r="233" spans="1:6" ht="24" customHeight="1" x14ac:dyDescent="0.25">
      <c r="A233" s="91">
        <v>2015</v>
      </c>
      <c r="B233" s="41">
        <f>B347</f>
        <v>16135.849999999999</v>
      </c>
      <c r="C233" s="41">
        <f t="shared" ref="C233:E233" si="12">C347</f>
        <v>1943444.8</v>
      </c>
      <c r="D233" s="41">
        <f t="shared" si="12"/>
        <v>152374.09999999998</v>
      </c>
      <c r="E233" s="41">
        <f t="shared" si="12"/>
        <v>2111954.75</v>
      </c>
      <c r="F233" s="91">
        <v>2015</v>
      </c>
    </row>
    <row r="234" spans="1:6" ht="24" customHeight="1" x14ac:dyDescent="0.25">
      <c r="A234" s="91">
        <v>2016</v>
      </c>
      <c r="B234" s="41">
        <f>B361</f>
        <v>235336.8</v>
      </c>
      <c r="C234" s="41">
        <f t="shared" ref="C234:E234" si="13">C361</f>
        <v>2207282.5</v>
      </c>
      <c r="D234" s="41">
        <f t="shared" si="13"/>
        <v>283107.40000000002</v>
      </c>
      <c r="E234" s="41">
        <f t="shared" si="13"/>
        <v>2725726.6999999997</v>
      </c>
      <c r="F234" s="91">
        <v>2016</v>
      </c>
    </row>
    <row r="235" spans="1:6" ht="24" customHeight="1" x14ac:dyDescent="0.25">
      <c r="A235" s="78"/>
      <c r="B235" s="41"/>
      <c r="C235" s="128"/>
      <c r="D235" s="128"/>
      <c r="E235" s="39"/>
      <c r="F235" s="142"/>
    </row>
    <row r="236" spans="1:6" ht="24" hidden="1" customHeight="1" x14ac:dyDescent="0.25">
      <c r="A236" s="36">
        <v>2010</v>
      </c>
      <c r="B236" s="41"/>
      <c r="C236" s="128"/>
      <c r="D236" s="128"/>
      <c r="E236" s="39"/>
      <c r="F236" s="36">
        <v>2010</v>
      </c>
    </row>
    <row r="237" spans="1:6" ht="24" hidden="1" customHeight="1" x14ac:dyDescent="0.25">
      <c r="A237" s="36" t="s">
        <v>32</v>
      </c>
      <c r="B237" s="41">
        <f>B221</f>
        <v>165696.54999999999</v>
      </c>
      <c r="C237" s="41">
        <f>C221</f>
        <v>346861.6</v>
      </c>
      <c r="D237" s="41">
        <f>D221</f>
        <v>139410.34999999998</v>
      </c>
      <c r="E237" s="41">
        <f>E221</f>
        <v>651968.5</v>
      </c>
      <c r="F237" s="36" t="s">
        <v>32</v>
      </c>
    </row>
    <row r="238" spans="1:6" ht="24" hidden="1" customHeight="1" x14ac:dyDescent="0.25">
      <c r="A238" s="36" t="s">
        <v>35</v>
      </c>
      <c r="B238" s="41">
        <f>B224</f>
        <v>116813.84999999999</v>
      </c>
      <c r="C238" s="41">
        <f>C224</f>
        <v>407088</v>
      </c>
      <c r="D238" s="41">
        <f>D224</f>
        <v>152545.65000000002</v>
      </c>
      <c r="E238" s="41">
        <f>E224</f>
        <v>676447.5</v>
      </c>
      <c r="F238" s="36" t="s">
        <v>35</v>
      </c>
    </row>
    <row r="239" spans="1:6" ht="24" hidden="1" customHeight="1" x14ac:dyDescent="0.25">
      <c r="A239" s="36" t="s">
        <v>37</v>
      </c>
      <c r="B239" s="41">
        <f>B227</f>
        <v>118007.09999999999</v>
      </c>
      <c r="C239" s="41">
        <f>C227</f>
        <v>472389.25000000006</v>
      </c>
      <c r="D239" s="41">
        <f>D227</f>
        <v>158551.45000000001</v>
      </c>
      <c r="E239" s="41">
        <f>E227</f>
        <v>748947.8</v>
      </c>
      <c r="F239" s="36" t="s">
        <v>37</v>
      </c>
    </row>
    <row r="240" spans="1:6" ht="24" hidden="1" customHeight="1" x14ac:dyDescent="0.25">
      <c r="A240" s="36" t="s">
        <v>41</v>
      </c>
      <c r="B240" s="41">
        <f>B230</f>
        <v>149388.70000000001</v>
      </c>
      <c r="C240" s="41">
        <f>C230</f>
        <v>474244.80000000005</v>
      </c>
      <c r="D240" s="41">
        <f>D230</f>
        <v>147419.85</v>
      </c>
      <c r="E240" s="41">
        <f>E230</f>
        <v>771053.35</v>
      </c>
      <c r="F240" s="36" t="s">
        <v>41</v>
      </c>
    </row>
    <row r="241" spans="1:6" ht="24" hidden="1" customHeight="1" x14ac:dyDescent="0.25">
      <c r="A241" s="78"/>
      <c r="B241" s="41"/>
      <c r="C241" s="41"/>
      <c r="D241" s="41"/>
      <c r="E241" s="39"/>
      <c r="F241" s="78"/>
    </row>
    <row r="242" spans="1:6" ht="24" hidden="1" customHeight="1" x14ac:dyDescent="0.25">
      <c r="A242" s="76">
        <v>2011</v>
      </c>
      <c r="B242" s="41"/>
      <c r="C242" s="42"/>
      <c r="D242" s="42"/>
      <c r="E242" s="39"/>
      <c r="F242" s="76">
        <v>2011</v>
      </c>
    </row>
    <row r="243" spans="1:6" ht="24" hidden="1" customHeight="1" x14ac:dyDescent="0.25">
      <c r="A243" s="78" t="s">
        <v>30</v>
      </c>
      <c r="B243" s="41">
        <f>16972.7+13330.75+107352.85</f>
        <v>137656.30000000002</v>
      </c>
      <c r="C243" s="42">
        <f>173297.4+227374.15+82299.1</f>
        <v>482970.65</v>
      </c>
      <c r="D243" s="42">
        <f>102394.15+27927.75+36351.3</f>
        <v>166673.20000000001</v>
      </c>
      <c r="E243" s="39">
        <f t="shared" ref="E243:E331" si="14">B243+C243+D243</f>
        <v>787300.15000000014</v>
      </c>
      <c r="F243" s="78" t="s">
        <v>30</v>
      </c>
    </row>
    <row r="244" spans="1:6" ht="24" hidden="1" customHeight="1" x14ac:dyDescent="0.25">
      <c r="A244" s="78" t="s">
        <v>31</v>
      </c>
      <c r="B244" s="41">
        <f>18234.65+12998.45+101672</f>
        <v>132905.1</v>
      </c>
      <c r="C244" s="42">
        <f>156959.85+222852.9+91169</f>
        <v>470981.75</v>
      </c>
      <c r="D244" s="42">
        <f>102080.75+34464.65+35262.85</f>
        <v>171808.25</v>
      </c>
      <c r="E244" s="39">
        <f t="shared" si="14"/>
        <v>775695.1</v>
      </c>
      <c r="F244" s="78" t="s">
        <v>31</v>
      </c>
    </row>
    <row r="245" spans="1:6" ht="24" hidden="1" customHeight="1" x14ac:dyDescent="0.25">
      <c r="A245" s="78" t="s">
        <v>3</v>
      </c>
      <c r="B245" s="41">
        <f>15845.6+12998.45+96473.95</f>
        <v>125318</v>
      </c>
      <c r="C245" s="42">
        <f>158682.25+230363+98503.42</f>
        <v>487548.67</v>
      </c>
      <c r="D245" s="42">
        <f>108909.15+35086.6+37626.5</f>
        <v>181622.25</v>
      </c>
      <c r="E245" s="39">
        <f t="shared" si="14"/>
        <v>794488.91999999993</v>
      </c>
      <c r="F245" s="78" t="s">
        <v>3</v>
      </c>
    </row>
    <row r="246" spans="1:6" ht="24" hidden="1" customHeight="1" x14ac:dyDescent="0.25">
      <c r="A246" s="78" t="s">
        <v>33</v>
      </c>
      <c r="B246" s="41">
        <f>15692.45+13103.6+94375.05</f>
        <v>123171.1</v>
      </c>
      <c r="C246" s="42">
        <f>180806.65+240213+102153.4</f>
        <v>523173.05000000005</v>
      </c>
      <c r="D246" s="42">
        <f>99866.45+33339.2+37994.25</f>
        <v>171199.9</v>
      </c>
      <c r="E246" s="39">
        <f t="shared" si="14"/>
        <v>817544.05</v>
      </c>
      <c r="F246" s="78" t="s">
        <v>33</v>
      </c>
    </row>
    <row r="247" spans="1:6" ht="24" hidden="1" customHeight="1" x14ac:dyDescent="0.25">
      <c r="A247" s="78" t="s">
        <v>34</v>
      </c>
      <c r="B247" s="41">
        <f>12531.9+13096.9+94376.55</f>
        <v>120005.35</v>
      </c>
      <c r="C247" s="42">
        <f>161042+257113+102470</f>
        <v>520625</v>
      </c>
      <c r="D247" s="42">
        <f>96645.15+26202.75+33757.25</f>
        <v>156605.15</v>
      </c>
      <c r="E247" s="39">
        <f t="shared" si="14"/>
        <v>797235.5</v>
      </c>
      <c r="F247" s="78" t="s">
        <v>34</v>
      </c>
    </row>
    <row r="248" spans="1:6" ht="24" hidden="1" customHeight="1" x14ac:dyDescent="0.25">
      <c r="A248" s="78" t="s">
        <v>0</v>
      </c>
      <c r="B248" s="41">
        <f>595.7+126.15+82172.5</f>
        <v>82894.350000000006</v>
      </c>
      <c r="C248" s="42">
        <f>159873+281813+108340</f>
        <v>550026</v>
      </c>
      <c r="D248" s="42">
        <f>97647.9+25682+27930.6</f>
        <v>151260.5</v>
      </c>
      <c r="E248" s="39">
        <f t="shared" si="14"/>
        <v>784180.85</v>
      </c>
      <c r="F248" s="78" t="s">
        <v>0</v>
      </c>
    </row>
    <row r="249" spans="1:6" ht="24" hidden="1" customHeight="1" x14ac:dyDescent="0.25">
      <c r="A249" s="78" t="s">
        <v>1</v>
      </c>
      <c r="B249" s="41">
        <f>616.95+9+82172.5</f>
        <v>82798.45</v>
      </c>
      <c r="C249" s="42">
        <f>156161.45+274175.65+127511.65</f>
        <v>557848.75</v>
      </c>
      <c r="D249" s="42">
        <f>97144.7+25318.45+27923.15</f>
        <v>150386.29999999999</v>
      </c>
      <c r="E249" s="39">
        <f t="shared" si="14"/>
        <v>791033.5</v>
      </c>
      <c r="F249" s="78" t="s">
        <v>1</v>
      </c>
    </row>
    <row r="250" spans="1:6" ht="24" hidden="1" customHeight="1" x14ac:dyDescent="0.25">
      <c r="A250" s="78" t="s">
        <v>2</v>
      </c>
      <c r="B250" s="41">
        <f>901.15+11.9+79197.9</f>
        <v>80110.95</v>
      </c>
      <c r="C250" s="42">
        <f>136384.6+274137.55+146011.65</f>
        <v>556533.80000000005</v>
      </c>
      <c r="D250" s="42">
        <f>95787+34526.15+26372.5</f>
        <v>156685.65</v>
      </c>
      <c r="E250" s="39">
        <f t="shared" si="14"/>
        <v>793330.4</v>
      </c>
      <c r="F250" s="78" t="s">
        <v>2</v>
      </c>
    </row>
    <row r="251" spans="1:6" ht="24" hidden="1" customHeight="1" x14ac:dyDescent="0.25">
      <c r="A251" s="78" t="s">
        <v>36</v>
      </c>
      <c r="B251" s="41">
        <f>1441.45+15.9+69811.4</f>
        <v>71268.75</v>
      </c>
      <c r="C251" s="42">
        <f>121525+284619.1+147011.65</f>
        <v>553155.75</v>
      </c>
      <c r="D251" s="42">
        <f>96592.6+35911.4+23106.85</f>
        <v>155610.85</v>
      </c>
      <c r="E251" s="39">
        <f t="shared" si="14"/>
        <v>780035.35</v>
      </c>
      <c r="F251" s="78" t="s">
        <v>36</v>
      </c>
    </row>
    <row r="252" spans="1:6" ht="24" hidden="1" customHeight="1" x14ac:dyDescent="0.25">
      <c r="A252" s="78" t="s">
        <v>38</v>
      </c>
      <c r="B252" s="41">
        <f>1493.2+16.9+54155.55</f>
        <v>55665.65</v>
      </c>
      <c r="C252" s="42">
        <f>111252+314854.5+150161.65</f>
        <v>576268.15</v>
      </c>
      <c r="D252" s="42">
        <f>95566.85+40481.4+18227.7</f>
        <v>154275.95000000001</v>
      </c>
      <c r="E252" s="39">
        <f t="shared" si="14"/>
        <v>786209.75</v>
      </c>
      <c r="F252" s="78" t="s">
        <v>38</v>
      </c>
    </row>
    <row r="253" spans="1:6" ht="24" hidden="1" customHeight="1" x14ac:dyDescent="0.25">
      <c r="A253" s="78" t="s">
        <v>39</v>
      </c>
      <c r="B253" s="41">
        <f>2007.65+16.9+54155.55</f>
        <v>56180.100000000006</v>
      </c>
      <c r="C253" s="42">
        <f>102465+290+290656.5+153986.65</f>
        <v>547398.15</v>
      </c>
      <c r="D253" s="42">
        <f>88767.7+47620.05+19146.8</f>
        <v>155534.54999999999</v>
      </c>
      <c r="E253" s="39">
        <f t="shared" si="14"/>
        <v>759112.8</v>
      </c>
      <c r="F253" s="78" t="s">
        <v>39</v>
      </c>
    </row>
    <row r="254" spans="1:6" ht="24" hidden="1" customHeight="1" x14ac:dyDescent="0.25">
      <c r="A254" s="78" t="s">
        <v>40</v>
      </c>
      <c r="B254" s="41">
        <f>16641.5+50062.6+65731.05</f>
        <v>132435.15000000002</v>
      </c>
      <c r="C254" s="42">
        <f>99803.4+257804.1+171983.65</f>
        <v>529591.15</v>
      </c>
      <c r="D254" s="42">
        <f>87990.85+57281.45+39079.4</f>
        <v>184351.69999999998</v>
      </c>
      <c r="E254" s="39">
        <f t="shared" si="14"/>
        <v>846378</v>
      </c>
      <c r="F254" s="78" t="s">
        <v>40</v>
      </c>
    </row>
    <row r="255" spans="1:6" ht="24" hidden="1" customHeight="1" x14ac:dyDescent="0.25">
      <c r="A255" s="78"/>
      <c r="B255" s="41"/>
      <c r="C255" s="42"/>
      <c r="D255" s="42"/>
      <c r="E255" s="39"/>
      <c r="F255" s="78"/>
    </row>
    <row r="256" spans="1:6" ht="24" hidden="1" customHeight="1" x14ac:dyDescent="0.25">
      <c r="A256" s="36">
        <v>2011</v>
      </c>
      <c r="B256" s="41"/>
      <c r="C256" s="42"/>
      <c r="D256" s="42"/>
      <c r="E256" s="39"/>
      <c r="F256" s="36">
        <v>2011</v>
      </c>
    </row>
    <row r="257" spans="1:6" ht="24" hidden="1" customHeight="1" x14ac:dyDescent="0.25">
      <c r="A257" s="36" t="s">
        <v>32</v>
      </c>
      <c r="B257" s="41">
        <f>B245</f>
        <v>125318</v>
      </c>
      <c r="C257" s="41">
        <f t="shared" ref="C257:E257" si="15">C245</f>
        <v>487548.67</v>
      </c>
      <c r="D257" s="41">
        <f t="shared" si="15"/>
        <v>181622.25</v>
      </c>
      <c r="E257" s="41">
        <f t="shared" si="15"/>
        <v>794488.91999999993</v>
      </c>
      <c r="F257" s="36" t="s">
        <v>32</v>
      </c>
    </row>
    <row r="258" spans="1:6" ht="24" hidden="1" customHeight="1" x14ac:dyDescent="0.25">
      <c r="A258" s="36" t="s">
        <v>35</v>
      </c>
      <c r="B258" s="41">
        <f>B248</f>
        <v>82894.350000000006</v>
      </c>
      <c r="C258" s="41">
        <f t="shared" ref="C258:E258" si="16">C248</f>
        <v>550026</v>
      </c>
      <c r="D258" s="41">
        <f t="shared" si="16"/>
        <v>151260.5</v>
      </c>
      <c r="E258" s="41">
        <f t="shared" si="16"/>
        <v>784180.85</v>
      </c>
      <c r="F258" s="36" t="s">
        <v>35</v>
      </c>
    </row>
    <row r="259" spans="1:6" ht="24" hidden="1" customHeight="1" x14ac:dyDescent="0.25">
      <c r="A259" s="36" t="s">
        <v>37</v>
      </c>
      <c r="B259" s="41">
        <f>B251</f>
        <v>71268.75</v>
      </c>
      <c r="C259" s="41">
        <f t="shared" ref="C259:E259" si="17">C251</f>
        <v>553155.75</v>
      </c>
      <c r="D259" s="41">
        <f t="shared" si="17"/>
        <v>155610.85</v>
      </c>
      <c r="E259" s="41">
        <f t="shared" si="17"/>
        <v>780035.35</v>
      </c>
      <c r="F259" s="36" t="s">
        <v>37</v>
      </c>
    </row>
    <row r="260" spans="1:6" ht="24" hidden="1" customHeight="1" x14ac:dyDescent="0.25">
      <c r="A260" s="36" t="s">
        <v>41</v>
      </c>
      <c r="B260" s="41">
        <f>B254</f>
        <v>132435.15000000002</v>
      </c>
      <c r="C260" s="41">
        <f t="shared" ref="C260:E260" si="18">C254</f>
        <v>529591.15</v>
      </c>
      <c r="D260" s="41">
        <f t="shared" si="18"/>
        <v>184351.69999999998</v>
      </c>
      <c r="E260" s="41">
        <f t="shared" si="18"/>
        <v>846378</v>
      </c>
      <c r="F260" s="36" t="s">
        <v>41</v>
      </c>
    </row>
    <row r="261" spans="1:6" ht="24" hidden="1" customHeight="1" x14ac:dyDescent="0.25">
      <c r="A261" s="36"/>
      <c r="B261" s="41"/>
      <c r="C261" s="41"/>
      <c r="D261" s="41"/>
      <c r="E261" s="41"/>
      <c r="F261" s="36"/>
    </row>
    <row r="262" spans="1:6" ht="24" hidden="1" customHeight="1" x14ac:dyDescent="0.25">
      <c r="A262" s="36">
        <v>2012</v>
      </c>
      <c r="B262" s="41"/>
      <c r="C262" s="41"/>
      <c r="D262" s="41"/>
      <c r="E262" s="41"/>
      <c r="F262" s="36">
        <v>2012</v>
      </c>
    </row>
    <row r="263" spans="1:6" ht="24" hidden="1" customHeight="1" x14ac:dyDescent="0.25">
      <c r="A263" s="36" t="s">
        <v>32</v>
      </c>
      <c r="B263" s="41">
        <f>B272</f>
        <v>129934.75</v>
      </c>
      <c r="C263" s="41">
        <f t="shared" ref="C263:E263" si="19">C272</f>
        <v>615032.4</v>
      </c>
      <c r="D263" s="41">
        <f t="shared" si="19"/>
        <v>204074.84999999998</v>
      </c>
      <c r="E263" s="41">
        <f t="shared" si="19"/>
        <v>949042</v>
      </c>
      <c r="F263" s="36" t="s">
        <v>32</v>
      </c>
    </row>
    <row r="264" spans="1:6" ht="24" hidden="1" customHeight="1" x14ac:dyDescent="0.25">
      <c r="A264" s="36" t="s">
        <v>35</v>
      </c>
      <c r="B264" s="41">
        <f>B275</f>
        <v>34461.949999999997</v>
      </c>
      <c r="C264" s="41">
        <f t="shared" ref="C264:E264" si="20">C275</f>
        <v>606569.79999999993</v>
      </c>
      <c r="D264" s="41">
        <f t="shared" si="20"/>
        <v>218253.65000000002</v>
      </c>
      <c r="E264" s="41">
        <f t="shared" si="20"/>
        <v>859285.39999999991</v>
      </c>
      <c r="F264" s="36" t="s">
        <v>35</v>
      </c>
    </row>
    <row r="265" spans="1:6" ht="24" hidden="1" customHeight="1" x14ac:dyDescent="0.25">
      <c r="A265" s="36" t="s">
        <v>37</v>
      </c>
      <c r="B265" s="41">
        <f>B278</f>
        <v>68344.850000000006</v>
      </c>
      <c r="C265" s="41">
        <f t="shared" ref="C265:E265" si="21">C278</f>
        <v>636516.15</v>
      </c>
      <c r="D265" s="41">
        <f t="shared" si="21"/>
        <v>272791.84999999998</v>
      </c>
      <c r="E265" s="41">
        <f t="shared" si="21"/>
        <v>977652.85</v>
      </c>
      <c r="F265" s="36" t="s">
        <v>37</v>
      </c>
    </row>
    <row r="266" spans="1:6" ht="24" hidden="1" customHeight="1" x14ac:dyDescent="0.25">
      <c r="A266" s="36" t="s">
        <v>41</v>
      </c>
      <c r="B266" s="41">
        <f>B281</f>
        <v>15351.05</v>
      </c>
      <c r="C266" s="41">
        <f t="shared" ref="C266:E266" si="22">C281</f>
        <v>738331.85</v>
      </c>
      <c r="D266" s="41">
        <f t="shared" si="22"/>
        <v>270468.75</v>
      </c>
      <c r="E266" s="41">
        <f t="shared" si="22"/>
        <v>1024151.65</v>
      </c>
      <c r="F266" s="36" t="s">
        <v>41</v>
      </c>
    </row>
    <row r="267" spans="1:6" ht="24" hidden="1" customHeight="1" x14ac:dyDescent="0.25">
      <c r="A267" s="36"/>
      <c r="B267" s="41"/>
      <c r="C267" s="41"/>
      <c r="D267" s="41"/>
      <c r="E267" s="41"/>
      <c r="F267" s="36"/>
    </row>
    <row r="268" spans="1:6" ht="24" hidden="1" customHeight="1" x14ac:dyDescent="0.25">
      <c r="A268" s="78"/>
      <c r="B268" s="41"/>
      <c r="C268" s="42"/>
      <c r="D268" s="42"/>
      <c r="E268" s="39"/>
      <c r="F268" s="78"/>
    </row>
    <row r="269" spans="1:6" ht="24" hidden="1" customHeight="1" x14ac:dyDescent="0.25">
      <c r="A269" s="76">
        <v>2012</v>
      </c>
      <c r="B269" s="41"/>
      <c r="C269" s="42"/>
      <c r="D269" s="42"/>
      <c r="E269" s="39"/>
      <c r="F269" s="76">
        <v>2012</v>
      </c>
    </row>
    <row r="270" spans="1:6" ht="24" hidden="1" customHeight="1" x14ac:dyDescent="0.25">
      <c r="A270" s="78" t="s">
        <v>30</v>
      </c>
      <c r="B270" s="41">
        <f>30322.15+50174.85+64531.05</f>
        <v>145028.04999999999</v>
      </c>
      <c r="C270" s="42">
        <f>91353.4+274705.9+178184.3</f>
        <v>544243.60000000009</v>
      </c>
      <c r="D270" s="42">
        <f>88366.4+60642.45+42047.95</f>
        <v>191056.8</v>
      </c>
      <c r="E270" s="39">
        <f t="shared" si="14"/>
        <v>880328.45000000019</v>
      </c>
      <c r="F270" s="78" t="s">
        <v>30</v>
      </c>
    </row>
    <row r="271" spans="1:6" ht="24" hidden="1" customHeight="1" x14ac:dyDescent="0.25">
      <c r="A271" s="78" t="s">
        <v>31</v>
      </c>
      <c r="B271" s="41">
        <f>29080.25+50174.85+61031.05</f>
        <v>140286.15000000002</v>
      </c>
      <c r="C271" s="42">
        <f>109770.35+289190.45+186834.8</f>
        <v>585795.60000000009</v>
      </c>
      <c r="D271" s="42">
        <f>89362.25+61168.4+43011.9</f>
        <v>193542.55</v>
      </c>
      <c r="E271" s="39">
        <f t="shared" si="14"/>
        <v>919624.3</v>
      </c>
      <c r="F271" s="78" t="s">
        <v>31</v>
      </c>
    </row>
    <row r="272" spans="1:6" ht="24" hidden="1" customHeight="1" x14ac:dyDescent="0.25">
      <c r="A272" s="78" t="s">
        <v>3</v>
      </c>
      <c r="B272" s="41">
        <f>25855.45+43099.25+60980.05</f>
        <v>129934.75</v>
      </c>
      <c r="C272" s="42">
        <f>103347.5+310782.25+200902.65</f>
        <v>615032.4</v>
      </c>
      <c r="D272" s="42">
        <f>87728.2+67213.6+49133.05</f>
        <v>204074.84999999998</v>
      </c>
      <c r="E272" s="39">
        <f t="shared" si="14"/>
        <v>949042</v>
      </c>
      <c r="F272" s="78" t="s">
        <v>3</v>
      </c>
    </row>
    <row r="273" spans="1:6" ht="24" hidden="1" customHeight="1" x14ac:dyDescent="0.25">
      <c r="A273" s="78" t="s">
        <v>33</v>
      </c>
      <c r="B273" s="41">
        <f>18357.15+227.65+2098.65+62485.05</f>
        <v>83168.5</v>
      </c>
      <c r="C273" s="42">
        <f>72520.9+27647.9+351872.4+6500+211942.65</f>
        <v>670483.85</v>
      </c>
      <c r="D273" s="42">
        <f>60445.7+21986.05+72976.35+68525.55</f>
        <v>223933.65000000002</v>
      </c>
      <c r="E273" s="39">
        <f t="shared" si="14"/>
        <v>977586</v>
      </c>
      <c r="F273" s="78" t="s">
        <v>33</v>
      </c>
    </row>
    <row r="274" spans="1:6" ht="24" hidden="1" customHeight="1" x14ac:dyDescent="0.25">
      <c r="A274" s="78" t="s">
        <v>34</v>
      </c>
      <c r="B274" s="41">
        <f>5761.2+5+182.9+40756.5</f>
        <v>46705.599999999999</v>
      </c>
      <c r="C274" s="42">
        <f>87614.3+10342.85+350806.85+6500+249267.4</f>
        <v>704531.4</v>
      </c>
      <c r="D274" s="42">
        <f>74010.6+5995+75858.05+70485.35</f>
        <v>226349.00000000003</v>
      </c>
      <c r="E274" s="39">
        <f t="shared" si="14"/>
        <v>977586</v>
      </c>
      <c r="F274" s="78" t="s">
        <v>34</v>
      </c>
    </row>
    <row r="275" spans="1:6" ht="24" hidden="1" customHeight="1" x14ac:dyDescent="0.25">
      <c r="A275" s="78" t="s">
        <v>0</v>
      </c>
      <c r="B275" s="41">
        <f>1154.75+50.7+33256.5</f>
        <v>34461.949999999997</v>
      </c>
      <c r="C275" s="42">
        <f>10342.85+325623.85+270603.1</f>
        <v>606569.79999999993</v>
      </c>
      <c r="D275" s="42">
        <f>69914.75+76286.7+72052.2</f>
        <v>218253.65000000002</v>
      </c>
      <c r="E275" s="39">
        <f t="shared" si="14"/>
        <v>859285.39999999991</v>
      </c>
      <c r="F275" s="78" t="s">
        <v>0</v>
      </c>
    </row>
    <row r="276" spans="1:6" ht="24" hidden="1" customHeight="1" x14ac:dyDescent="0.25">
      <c r="A276" s="78" t="s">
        <v>1</v>
      </c>
      <c r="B276" s="41">
        <f>970.65+185.55+33256.5</f>
        <v>34412.699999999997</v>
      </c>
      <c r="C276" s="42">
        <f>300770.65+315840.7</f>
        <v>616611.35000000009</v>
      </c>
      <c r="D276" s="42">
        <f>81373.25+77826.05+83246.65</f>
        <v>242445.94999999998</v>
      </c>
      <c r="E276" s="39">
        <f t="shared" si="14"/>
        <v>893470</v>
      </c>
      <c r="F276" s="78" t="s">
        <v>1</v>
      </c>
    </row>
    <row r="277" spans="1:6" ht="24" hidden="1" customHeight="1" x14ac:dyDescent="0.25">
      <c r="A277" s="78" t="s">
        <v>2</v>
      </c>
      <c r="B277" s="41">
        <f>736.95+1390+32256.5</f>
        <v>34383.449999999997</v>
      </c>
      <c r="C277" s="42">
        <f>272465.45+360650.7</f>
        <v>633116.15</v>
      </c>
      <c r="D277" s="42">
        <f>84371.35+83210.35+104180.65</f>
        <v>271762.34999999998</v>
      </c>
      <c r="E277" s="39">
        <f t="shared" si="14"/>
        <v>939261.95</v>
      </c>
      <c r="F277" s="78" t="s">
        <v>2</v>
      </c>
    </row>
    <row r="278" spans="1:6" ht="24" hidden="1" customHeight="1" x14ac:dyDescent="0.25">
      <c r="A278" s="78" t="s">
        <v>36</v>
      </c>
      <c r="B278" s="41">
        <f>10576.2+26484.3+31284.35</f>
        <v>68344.850000000006</v>
      </c>
      <c r="C278" s="42">
        <f>246565.45+389950.7</f>
        <v>636516.15</v>
      </c>
      <c r="D278" s="42">
        <f>81391+86636.4+104764.45</f>
        <v>272791.84999999998</v>
      </c>
      <c r="E278" s="39">
        <f t="shared" si="14"/>
        <v>977652.85</v>
      </c>
      <c r="F278" s="78" t="s">
        <v>36</v>
      </c>
    </row>
    <row r="279" spans="1:6" ht="24" hidden="1" customHeight="1" x14ac:dyDescent="0.25">
      <c r="A279" s="78" t="s">
        <v>38</v>
      </c>
      <c r="B279" s="41">
        <f>802.4+49540.1+17800.9</f>
        <v>68143.399999999994</v>
      </c>
      <c r="C279" s="42">
        <f>226126.95+432015.45</f>
        <v>658142.4</v>
      </c>
      <c r="D279" s="42">
        <f>83924.65+88731.3+107893</f>
        <v>280548.95</v>
      </c>
      <c r="E279" s="39">
        <f t="shared" si="14"/>
        <v>1006834.75</v>
      </c>
      <c r="F279" s="78" t="s">
        <v>38</v>
      </c>
    </row>
    <row r="280" spans="1:6" ht="24" hidden="1" customHeight="1" x14ac:dyDescent="0.25">
      <c r="A280" s="78" t="s">
        <v>39</v>
      </c>
      <c r="B280" s="41">
        <f>236.05+11382.05+3195.1</f>
        <v>14813.199999999999</v>
      </c>
      <c r="C280" s="42">
        <f>283383+444271.35</f>
        <v>727654.35</v>
      </c>
      <c r="D280" s="42">
        <f>83849.25+88403.4+88403.4</f>
        <v>260656.05</v>
      </c>
      <c r="E280" s="39">
        <f t="shared" si="14"/>
        <v>1003123.5999999999</v>
      </c>
      <c r="F280" s="78" t="s">
        <v>39</v>
      </c>
    </row>
    <row r="281" spans="1:6" ht="24" hidden="1" customHeight="1" x14ac:dyDescent="0.25">
      <c r="A281" s="78" t="s">
        <v>40</v>
      </c>
      <c r="B281" s="41">
        <f>494+3669+11188.05</f>
        <v>15351.05</v>
      </c>
      <c r="C281" s="42">
        <f>292096+446235.85</f>
        <v>738331.85</v>
      </c>
      <c r="D281" s="42">
        <f>82423.5+84917.85+103127.4</f>
        <v>270468.75</v>
      </c>
      <c r="E281" s="39">
        <f t="shared" si="14"/>
        <v>1024151.65</v>
      </c>
      <c r="F281" s="78" t="s">
        <v>40</v>
      </c>
    </row>
    <row r="282" spans="1:6" ht="24" hidden="1" customHeight="1" x14ac:dyDescent="0.25">
      <c r="A282" s="78"/>
      <c r="B282" s="41"/>
      <c r="C282" s="42"/>
      <c r="D282" s="42"/>
      <c r="E282" s="39"/>
      <c r="F282" s="78"/>
    </row>
    <row r="283" spans="1:6" ht="24" hidden="1" customHeight="1" x14ac:dyDescent="0.25">
      <c r="A283" s="36">
        <v>2013</v>
      </c>
      <c r="B283" s="41"/>
      <c r="C283" s="42"/>
      <c r="D283" s="42"/>
      <c r="E283" s="39"/>
      <c r="F283" s="36">
        <v>2013</v>
      </c>
    </row>
    <row r="284" spans="1:6" ht="24" hidden="1" customHeight="1" x14ac:dyDescent="0.25">
      <c r="A284" s="36" t="s">
        <v>32</v>
      </c>
      <c r="B284" s="41">
        <f>SUM(B308:B310)</f>
        <v>28795.699999999997</v>
      </c>
      <c r="C284" s="41">
        <f t="shared" ref="C284:E284" si="23">SUM(C308:C310)</f>
        <v>2347586.0499999998</v>
      </c>
      <c r="D284" s="41">
        <f t="shared" si="23"/>
        <v>689745.85000000009</v>
      </c>
      <c r="E284" s="41">
        <f t="shared" si="23"/>
        <v>3066127.6</v>
      </c>
      <c r="F284" s="36" t="s">
        <v>32</v>
      </c>
    </row>
    <row r="285" spans="1:6" ht="24" hidden="1" customHeight="1" x14ac:dyDescent="0.25">
      <c r="A285" s="36" t="s">
        <v>35</v>
      </c>
      <c r="B285" s="41">
        <f>SUM(B311:B313)</f>
        <v>3002.3999999999996</v>
      </c>
      <c r="C285" s="41">
        <f t="shared" ref="C285:E285" si="24">SUM(C311:C313)</f>
        <v>2332776.4</v>
      </c>
      <c r="D285" s="41">
        <f t="shared" si="24"/>
        <v>757319.29999999993</v>
      </c>
      <c r="E285" s="41">
        <f t="shared" si="24"/>
        <v>3093098.1</v>
      </c>
      <c r="F285" s="36" t="s">
        <v>35</v>
      </c>
    </row>
    <row r="286" spans="1:6" ht="24" hidden="1" customHeight="1" x14ac:dyDescent="0.25">
      <c r="A286" s="36" t="s">
        <v>37</v>
      </c>
      <c r="B286" s="41">
        <f>SUM(B314:B316)</f>
        <v>247468.5</v>
      </c>
      <c r="C286" s="41">
        <f t="shared" ref="C286:E286" si="25">SUM(C314:C316)</f>
        <v>2769532</v>
      </c>
      <c r="D286" s="41">
        <f t="shared" si="25"/>
        <v>518080.39999999997</v>
      </c>
      <c r="E286" s="41">
        <f t="shared" si="25"/>
        <v>3535080.9</v>
      </c>
      <c r="F286" s="36" t="s">
        <v>37</v>
      </c>
    </row>
    <row r="287" spans="1:6" ht="24" hidden="1" customHeight="1" x14ac:dyDescent="0.25">
      <c r="A287" s="36" t="s">
        <v>41</v>
      </c>
      <c r="B287" s="41">
        <f>SUM(B317:B319)</f>
        <v>180304.92000000004</v>
      </c>
      <c r="C287" s="41">
        <f t="shared" ref="C287:E287" si="26">SUM(C317:C319)</f>
        <v>3193276.05</v>
      </c>
      <c r="D287" s="41">
        <f t="shared" si="26"/>
        <v>219402.90000000002</v>
      </c>
      <c r="E287" s="41">
        <f t="shared" si="26"/>
        <v>3592983.87</v>
      </c>
      <c r="F287" s="36" t="s">
        <v>41</v>
      </c>
    </row>
    <row r="288" spans="1:6" ht="24" hidden="1" customHeight="1" x14ac:dyDescent="0.25">
      <c r="A288" s="78"/>
      <c r="B288" s="41"/>
      <c r="C288" s="42"/>
      <c r="D288" s="42"/>
      <c r="E288" s="39"/>
      <c r="F288" s="78"/>
    </row>
    <row r="289" spans="1:6" ht="24" customHeight="1" x14ac:dyDescent="0.25">
      <c r="A289" s="36">
        <v>2014</v>
      </c>
      <c r="B289" s="41"/>
      <c r="C289" s="42"/>
      <c r="D289" s="42"/>
      <c r="E289" s="39"/>
      <c r="F289" s="36">
        <v>2014</v>
      </c>
    </row>
    <row r="290" spans="1:6" ht="24" customHeight="1" x14ac:dyDescent="0.25">
      <c r="A290" s="36" t="s">
        <v>32</v>
      </c>
      <c r="B290" s="41">
        <f>B324</f>
        <v>88075.5</v>
      </c>
      <c r="C290" s="41">
        <f t="shared" ref="C290:E290" si="27">C324</f>
        <v>1247183.95</v>
      </c>
      <c r="D290" s="41">
        <f t="shared" si="27"/>
        <v>152107.20000000001</v>
      </c>
      <c r="E290" s="41">
        <f t="shared" si="27"/>
        <v>1487366.65</v>
      </c>
      <c r="F290" s="36" t="s">
        <v>32</v>
      </c>
    </row>
    <row r="291" spans="1:6" ht="24" customHeight="1" x14ac:dyDescent="0.25">
      <c r="A291" s="36" t="s">
        <v>35</v>
      </c>
      <c r="B291" s="41">
        <f>B327</f>
        <v>3186.8</v>
      </c>
      <c r="C291" s="41">
        <f t="shared" ref="C291:E291" si="28">C327</f>
        <v>1390650.4</v>
      </c>
      <c r="D291" s="41">
        <f t="shared" si="28"/>
        <v>140692.59999999998</v>
      </c>
      <c r="E291" s="41">
        <f t="shared" si="28"/>
        <v>1534529.7999999998</v>
      </c>
      <c r="F291" s="36" t="s">
        <v>35</v>
      </c>
    </row>
    <row r="292" spans="1:6" ht="24" customHeight="1" x14ac:dyDescent="0.25">
      <c r="A292" s="36" t="s">
        <v>37</v>
      </c>
      <c r="B292" s="41">
        <f>B330</f>
        <v>6469.55</v>
      </c>
      <c r="C292" s="41">
        <f t="shared" ref="C292:E292" si="29">C330</f>
        <v>1560727.4000000001</v>
      </c>
      <c r="D292" s="41">
        <f t="shared" si="29"/>
        <v>1282319.75</v>
      </c>
      <c r="E292" s="41">
        <f t="shared" si="29"/>
        <v>2849516.7</v>
      </c>
      <c r="F292" s="36" t="s">
        <v>37</v>
      </c>
    </row>
    <row r="293" spans="1:6" ht="24" customHeight="1" x14ac:dyDescent="0.25">
      <c r="A293" s="36" t="s">
        <v>41</v>
      </c>
      <c r="B293" s="41">
        <f>B333</f>
        <v>44864.899999999994</v>
      </c>
      <c r="C293" s="41">
        <f t="shared" ref="C293:E293" si="30">C333</f>
        <v>1590835.5</v>
      </c>
      <c r="D293" s="41">
        <f t="shared" si="30"/>
        <v>1412026.2</v>
      </c>
      <c r="E293" s="41">
        <f t="shared" si="30"/>
        <v>3047726.5999999996</v>
      </c>
      <c r="F293" s="36" t="s">
        <v>41</v>
      </c>
    </row>
    <row r="294" spans="1:6" ht="24" customHeight="1" x14ac:dyDescent="0.25">
      <c r="A294" s="78"/>
      <c r="B294" s="41"/>
      <c r="C294" s="41"/>
      <c r="D294" s="41"/>
      <c r="E294" s="41"/>
      <c r="F294" s="78"/>
    </row>
    <row r="295" spans="1:6" ht="24" customHeight="1" x14ac:dyDescent="0.25">
      <c r="A295" s="36">
        <v>2015</v>
      </c>
      <c r="B295" s="41"/>
      <c r="C295" s="41"/>
      <c r="D295" s="41"/>
      <c r="E295" s="41"/>
      <c r="F295" s="36">
        <v>2015</v>
      </c>
    </row>
    <row r="296" spans="1:6" ht="24" customHeight="1" x14ac:dyDescent="0.25">
      <c r="A296" s="36" t="s">
        <v>32</v>
      </c>
      <c r="B296" s="41">
        <f>B338</f>
        <v>23055.35</v>
      </c>
      <c r="C296" s="41">
        <f t="shared" ref="C296:E296" si="31">C338</f>
        <v>1658639.4500000002</v>
      </c>
      <c r="D296" s="41">
        <f t="shared" si="31"/>
        <v>125564.05</v>
      </c>
      <c r="E296" s="41">
        <f t="shared" si="31"/>
        <v>1807258.8500000003</v>
      </c>
      <c r="F296" s="36" t="s">
        <v>32</v>
      </c>
    </row>
    <row r="297" spans="1:6" ht="24" customHeight="1" x14ac:dyDescent="0.25">
      <c r="A297" s="36" t="s">
        <v>35</v>
      </c>
      <c r="B297" s="41">
        <f>B341</f>
        <v>1474.25</v>
      </c>
      <c r="C297" s="41">
        <f t="shared" ref="C297:E297" si="32">C341</f>
        <v>1743461.1500000001</v>
      </c>
      <c r="D297" s="41">
        <f t="shared" si="32"/>
        <v>124413.09999999999</v>
      </c>
      <c r="E297" s="41">
        <f t="shared" si="32"/>
        <v>1869348.5000000002</v>
      </c>
      <c r="F297" s="36" t="s">
        <v>35</v>
      </c>
    </row>
    <row r="298" spans="1:6" ht="24" customHeight="1" x14ac:dyDescent="0.25">
      <c r="A298" s="36" t="s">
        <v>37</v>
      </c>
      <c r="B298" s="41">
        <f>B344</f>
        <v>7951.1999999999989</v>
      </c>
      <c r="C298" s="41">
        <f t="shared" ref="C298:E298" si="33">C344</f>
        <v>1941784.2000000002</v>
      </c>
      <c r="D298" s="41">
        <f t="shared" si="33"/>
        <v>131484.6</v>
      </c>
      <c r="E298" s="41">
        <f t="shared" si="33"/>
        <v>2081220.0000000002</v>
      </c>
      <c r="F298" s="36" t="s">
        <v>37</v>
      </c>
    </row>
    <row r="299" spans="1:6" ht="24" customHeight="1" x14ac:dyDescent="0.25">
      <c r="A299" s="36" t="s">
        <v>41</v>
      </c>
      <c r="B299" s="41">
        <f>B347</f>
        <v>16135.849999999999</v>
      </c>
      <c r="C299" s="41">
        <f t="shared" ref="C299:E299" si="34">C347</f>
        <v>1943444.8</v>
      </c>
      <c r="D299" s="41">
        <f t="shared" si="34"/>
        <v>152374.09999999998</v>
      </c>
      <c r="E299" s="41">
        <f t="shared" si="34"/>
        <v>2111954.75</v>
      </c>
      <c r="F299" s="36" t="s">
        <v>41</v>
      </c>
    </row>
    <row r="300" spans="1:6" ht="24" customHeight="1" x14ac:dyDescent="0.25">
      <c r="A300" s="78"/>
      <c r="B300" s="41"/>
      <c r="C300" s="41"/>
      <c r="D300" s="41"/>
      <c r="E300" s="41"/>
      <c r="F300" s="78"/>
    </row>
    <row r="301" spans="1:6" ht="24" customHeight="1" x14ac:dyDescent="0.25">
      <c r="A301" s="36">
        <v>2016</v>
      </c>
      <c r="B301" s="41"/>
      <c r="C301" s="41"/>
      <c r="D301" s="41"/>
      <c r="E301" s="41"/>
      <c r="F301" s="36">
        <v>2016</v>
      </c>
    </row>
    <row r="302" spans="1:6" ht="24" customHeight="1" x14ac:dyDescent="0.25">
      <c r="A302" s="36" t="s">
        <v>32</v>
      </c>
      <c r="B302" s="41">
        <f>B352</f>
        <v>69633.450000000012</v>
      </c>
      <c r="C302" s="41">
        <f t="shared" ref="C302:E302" si="35">C352</f>
        <v>2017610</v>
      </c>
      <c r="D302" s="41">
        <f t="shared" si="35"/>
        <v>199016.3</v>
      </c>
      <c r="E302" s="41">
        <f t="shared" si="35"/>
        <v>2286259.75</v>
      </c>
      <c r="F302" s="36" t="s">
        <v>32</v>
      </c>
    </row>
    <row r="303" spans="1:6" ht="24" customHeight="1" x14ac:dyDescent="0.25">
      <c r="A303" s="36" t="s">
        <v>35</v>
      </c>
      <c r="B303" s="41">
        <f>B355</f>
        <v>120991.85</v>
      </c>
      <c r="C303" s="41">
        <f t="shared" ref="C303:E303" si="36">C355</f>
        <v>2113463.3000000003</v>
      </c>
      <c r="D303" s="41">
        <f t="shared" si="36"/>
        <v>257795.1</v>
      </c>
      <c r="E303" s="41">
        <f t="shared" si="36"/>
        <v>2492250.2500000005</v>
      </c>
      <c r="F303" s="36" t="s">
        <v>35</v>
      </c>
    </row>
    <row r="304" spans="1:6" ht="24" customHeight="1" x14ac:dyDescent="0.25">
      <c r="A304" s="36" t="s">
        <v>37</v>
      </c>
      <c r="B304" s="41">
        <f>B358</f>
        <v>148590.09999999998</v>
      </c>
      <c r="C304" s="41">
        <f t="shared" ref="C304:E304" si="37">C358</f>
        <v>2226774.85</v>
      </c>
      <c r="D304" s="41">
        <f t="shared" si="37"/>
        <v>275707.55</v>
      </c>
      <c r="E304" s="41">
        <f t="shared" si="37"/>
        <v>2651072.5</v>
      </c>
      <c r="F304" s="36" t="s">
        <v>37</v>
      </c>
    </row>
    <row r="305" spans="1:6" ht="24" customHeight="1" x14ac:dyDescent="0.25">
      <c r="A305" s="36" t="s">
        <v>41</v>
      </c>
      <c r="B305" s="41">
        <f>B361</f>
        <v>235336.8</v>
      </c>
      <c r="C305" s="41">
        <f t="shared" ref="C305:E305" si="38">C361</f>
        <v>2207282.5</v>
      </c>
      <c r="D305" s="41">
        <f t="shared" si="38"/>
        <v>283107.40000000002</v>
      </c>
      <c r="E305" s="41">
        <f t="shared" si="38"/>
        <v>2725726.6999999997</v>
      </c>
      <c r="F305" s="36" t="s">
        <v>41</v>
      </c>
    </row>
    <row r="306" spans="1:6" ht="24" customHeight="1" x14ac:dyDescent="0.25">
      <c r="A306" s="36"/>
      <c r="B306" s="41"/>
      <c r="C306" s="42"/>
      <c r="D306" s="42"/>
      <c r="E306" s="39"/>
      <c r="F306" s="78"/>
    </row>
    <row r="307" spans="1:6" ht="24" hidden="1" customHeight="1" x14ac:dyDescent="0.25">
      <c r="A307" s="76">
        <v>2013</v>
      </c>
      <c r="E307" s="39"/>
      <c r="F307" s="76">
        <v>2013</v>
      </c>
    </row>
    <row r="308" spans="1:6" ht="24" hidden="1" customHeight="1" x14ac:dyDescent="0.25">
      <c r="A308" s="78" t="s">
        <v>30</v>
      </c>
      <c r="B308" s="41">
        <f>799.6+3256+11005.05</f>
        <v>15060.65</v>
      </c>
      <c r="C308" s="42">
        <f>292801.9+459609.3</f>
        <v>752411.2</v>
      </c>
      <c r="D308" s="42">
        <f>80369.5+89704.95</f>
        <v>170074.45</v>
      </c>
      <c r="E308" s="39">
        <f t="shared" si="14"/>
        <v>937546.3</v>
      </c>
      <c r="F308" s="78" t="s">
        <v>30</v>
      </c>
    </row>
    <row r="309" spans="1:6" ht="24" hidden="1" customHeight="1" x14ac:dyDescent="0.25">
      <c r="A309" s="78" t="s">
        <v>31</v>
      </c>
      <c r="B309" s="41">
        <f>612.9+3166.75+3204.05</f>
        <v>6983.7000000000007</v>
      </c>
      <c r="C309" s="42">
        <f>291612.4+497244.2</f>
        <v>788856.60000000009</v>
      </c>
      <c r="D309" s="42">
        <f>70659.25+72990.6+117349.75</f>
        <v>260999.6</v>
      </c>
      <c r="E309" s="39">
        <f t="shared" si="14"/>
        <v>1056839.9000000001</v>
      </c>
      <c r="F309" s="78" t="s">
        <v>31</v>
      </c>
    </row>
    <row r="310" spans="1:6" ht="24" hidden="1" customHeight="1" x14ac:dyDescent="0.25">
      <c r="A310" s="78" t="s">
        <v>3</v>
      </c>
      <c r="B310" s="41">
        <f>641.25+2887.25+3222.85</f>
        <v>6751.35</v>
      </c>
      <c r="C310" s="42">
        <f>252999.65+553318.6</f>
        <v>806318.25</v>
      </c>
      <c r="D310" s="42">
        <f>70560.15+72842.9+115268.75</f>
        <v>258671.8</v>
      </c>
      <c r="E310" s="39">
        <f t="shared" si="14"/>
        <v>1071741.3999999999</v>
      </c>
      <c r="F310" s="78" t="s">
        <v>3</v>
      </c>
    </row>
    <row r="311" spans="1:6" ht="24" hidden="1" customHeight="1" x14ac:dyDescent="0.25">
      <c r="A311" s="78" t="s">
        <v>33</v>
      </c>
      <c r="B311" s="41">
        <f>258.8+548.3+414.65</f>
        <v>1221.75</v>
      </c>
      <c r="C311" s="42">
        <f>208829.25+554884.85</f>
        <v>763714.1</v>
      </c>
      <c r="D311" s="42">
        <f>67824.45+71350.15+122010.65</f>
        <v>261185.24999999997</v>
      </c>
      <c r="E311" s="39">
        <f t="shared" si="14"/>
        <v>1026121.1</v>
      </c>
      <c r="F311" s="78" t="s">
        <v>33</v>
      </c>
    </row>
    <row r="312" spans="1:6" ht="24" hidden="1" customHeight="1" x14ac:dyDescent="0.25">
      <c r="A312" s="78" t="s">
        <v>34</v>
      </c>
      <c r="B312" s="41">
        <f>295.1+512.85+206.9</f>
        <v>1014.85</v>
      </c>
      <c r="C312" s="42">
        <f>216203.65+554998.2</f>
        <v>771201.85</v>
      </c>
      <c r="D312" s="42">
        <f>65234.8+64290.75+120683.75</f>
        <v>250209.3</v>
      </c>
      <c r="E312" s="39">
        <f t="shared" si="14"/>
        <v>1022426</v>
      </c>
      <c r="F312" s="78" t="s">
        <v>34</v>
      </c>
    </row>
    <row r="313" spans="1:6" ht="24" hidden="1" customHeight="1" x14ac:dyDescent="0.25">
      <c r="A313" s="78" t="s">
        <v>0</v>
      </c>
      <c r="B313" s="41">
        <f>106.5+443.4+215.9</f>
        <v>765.8</v>
      </c>
      <c r="C313" s="42">
        <f>223040.35+574820.1</f>
        <v>797860.45</v>
      </c>
      <c r="D313" s="42">
        <f>68309.85+58030.3+119584.6</f>
        <v>245924.75</v>
      </c>
      <c r="E313" s="39">
        <f t="shared" si="14"/>
        <v>1044551</v>
      </c>
      <c r="F313" s="78" t="s">
        <v>0</v>
      </c>
    </row>
    <row r="314" spans="1:6" ht="24" hidden="1" customHeight="1" x14ac:dyDescent="0.25">
      <c r="A314" s="78" t="s">
        <v>1</v>
      </c>
      <c r="B314" s="41">
        <f>81892.15+310.1+235.65</f>
        <v>82437.899999999994</v>
      </c>
      <c r="C314" s="42">
        <f>284077.7+562432.5</f>
        <v>846510.2</v>
      </c>
      <c r="D314" s="42">
        <f>60638.6+50810.6+108422.15</f>
        <v>219871.34999999998</v>
      </c>
      <c r="E314" s="39">
        <f t="shared" si="14"/>
        <v>1148819.45</v>
      </c>
      <c r="F314" s="78" t="s">
        <v>1</v>
      </c>
    </row>
    <row r="315" spans="1:6" ht="24" hidden="1" customHeight="1" x14ac:dyDescent="0.25">
      <c r="A315" s="78" t="s">
        <v>2</v>
      </c>
      <c r="B315" s="41">
        <f>81927.8+310.1+248.15</f>
        <v>82486.05</v>
      </c>
      <c r="C315" s="42">
        <f>348155.45+578746.7</f>
        <v>926902.14999999991</v>
      </c>
      <c r="D315" s="42">
        <f>65830.4+50651+90593.2</f>
        <v>207074.59999999998</v>
      </c>
      <c r="E315" s="39">
        <f t="shared" si="14"/>
        <v>1216462.7999999998</v>
      </c>
      <c r="F315" s="78" t="s">
        <v>2</v>
      </c>
    </row>
    <row r="316" spans="1:6" ht="24" hidden="1" customHeight="1" x14ac:dyDescent="0.25">
      <c r="A316" s="78" t="s">
        <v>36</v>
      </c>
      <c r="B316" s="41">
        <f>81907.4+408+229.15</f>
        <v>82544.549999999988</v>
      </c>
      <c r="C316" s="42">
        <f>413216.65+582903</f>
        <v>996119.65</v>
      </c>
      <c r="D316" s="42">
        <f>91134.45</f>
        <v>91134.45</v>
      </c>
      <c r="E316" s="39">
        <f t="shared" si="14"/>
        <v>1169798.6499999999</v>
      </c>
      <c r="F316" s="78" t="s">
        <v>36</v>
      </c>
    </row>
    <row r="317" spans="1:6" ht="24" hidden="1" customHeight="1" x14ac:dyDescent="0.25">
      <c r="A317" s="78" t="s">
        <v>38</v>
      </c>
      <c r="B317" s="41">
        <f>97.1+217.2+863.16</f>
        <v>1177.46</v>
      </c>
      <c r="C317" s="42">
        <f>441850.45+615470.55</f>
        <v>1057321</v>
      </c>
      <c r="D317" s="42">
        <v>90217.5</v>
      </c>
      <c r="E317" s="39">
        <f t="shared" si="14"/>
        <v>1148715.96</v>
      </c>
      <c r="F317" s="78" t="s">
        <v>38</v>
      </c>
    </row>
    <row r="318" spans="1:6" ht="24" hidden="1" customHeight="1" x14ac:dyDescent="0.25">
      <c r="A318" s="78" t="s">
        <v>39</v>
      </c>
      <c r="B318" s="41">
        <f>82712.36+676.7+1118.85</f>
        <v>84507.91</v>
      </c>
      <c r="C318" s="42">
        <f>446669.8+619166.35</f>
        <v>1065836.1499999999</v>
      </c>
      <c r="D318" s="42">
        <v>51046.85</v>
      </c>
      <c r="E318" s="39">
        <f t="shared" si="14"/>
        <v>1201390.9099999999</v>
      </c>
      <c r="F318" s="78" t="s">
        <v>39</v>
      </c>
    </row>
    <row r="319" spans="1:6" ht="24" hidden="1" customHeight="1" x14ac:dyDescent="0.25">
      <c r="A319" s="78" t="s">
        <v>40</v>
      </c>
      <c r="B319" s="41">
        <f>85720.85+7798.85+1099.85</f>
        <v>94619.550000000017</v>
      </c>
      <c r="C319" s="42">
        <f>441882.15+628236.75</f>
        <v>1070118.8999999999</v>
      </c>
      <c r="D319" s="42">
        <v>78138.55</v>
      </c>
      <c r="E319" s="39">
        <f t="shared" si="14"/>
        <v>1242877</v>
      </c>
      <c r="F319" s="78" t="s">
        <v>40</v>
      </c>
    </row>
    <row r="320" spans="1:6" ht="24" hidden="1" customHeight="1" x14ac:dyDescent="0.25">
      <c r="A320" s="78"/>
      <c r="B320" s="41"/>
      <c r="C320" s="42"/>
      <c r="D320" s="42"/>
      <c r="E320" s="39"/>
      <c r="F320" s="78"/>
    </row>
    <row r="321" spans="1:6" ht="24" customHeight="1" x14ac:dyDescent="0.25">
      <c r="A321" s="76">
        <v>2014</v>
      </c>
      <c r="B321" s="41"/>
      <c r="C321" s="42"/>
      <c r="D321" s="42"/>
      <c r="E321" s="39"/>
      <c r="F321" s="76">
        <v>2014</v>
      </c>
    </row>
    <row r="322" spans="1:6" ht="24" customHeight="1" x14ac:dyDescent="0.25">
      <c r="A322" s="78" t="s">
        <v>30</v>
      </c>
      <c r="B322" s="41">
        <f>84015.6+979+1170.6</f>
        <v>86165.200000000012</v>
      </c>
      <c r="C322" s="42">
        <f>407319.75+689775.85+103734.55</f>
        <v>1200830.1500000001</v>
      </c>
      <c r="D322" s="42">
        <f>35544.55+77001+56190</f>
        <v>168735.55</v>
      </c>
      <c r="E322" s="39">
        <f t="shared" si="14"/>
        <v>1455730.9000000001</v>
      </c>
      <c r="F322" s="78" t="s">
        <v>30</v>
      </c>
    </row>
    <row r="323" spans="1:6" ht="24" customHeight="1" x14ac:dyDescent="0.25">
      <c r="A323" s="78" t="s">
        <v>31</v>
      </c>
      <c r="B323" s="41">
        <f>82056.85+840.65+1156.3</f>
        <v>84053.8</v>
      </c>
      <c r="C323" s="42">
        <f>90245.3+379169.6+752182.9</f>
        <v>1221597.8</v>
      </c>
      <c r="D323" s="42">
        <f>29863.55+63620.15+57754.15</f>
        <v>151237.85</v>
      </c>
      <c r="E323" s="39">
        <f t="shared" si="14"/>
        <v>1456889.4500000002</v>
      </c>
      <c r="F323" s="78" t="s">
        <v>31</v>
      </c>
    </row>
    <row r="324" spans="1:6" ht="24" customHeight="1" x14ac:dyDescent="0.25">
      <c r="A324" s="78" t="s">
        <v>3</v>
      </c>
      <c r="B324" s="41">
        <f>82216+2340.75+3518.75</f>
        <v>88075.5</v>
      </c>
      <c r="C324" s="42">
        <f>86987.5+375907.1+784289.35</f>
        <v>1247183.95</v>
      </c>
      <c r="D324" s="42">
        <f>27638+66911.65+57557.55</f>
        <v>152107.20000000001</v>
      </c>
      <c r="E324" s="39">
        <f t="shared" si="14"/>
        <v>1487366.65</v>
      </c>
      <c r="F324" s="78" t="s">
        <v>3</v>
      </c>
    </row>
    <row r="325" spans="1:6" ht="24" customHeight="1" x14ac:dyDescent="0.25">
      <c r="A325" s="78" t="s">
        <v>33</v>
      </c>
      <c r="B325" s="41">
        <f>78.6+2352.55+2992.55</f>
        <v>5423.7000000000007</v>
      </c>
      <c r="C325" s="42">
        <f>82402.4+390036.65+845727.9</f>
        <v>1318166.9500000002</v>
      </c>
      <c r="D325" s="42">
        <f>23296.75+67784.5+52904.55</f>
        <v>143985.79999999999</v>
      </c>
      <c r="E325" s="39">
        <f t="shared" si="14"/>
        <v>1467576.4500000002</v>
      </c>
      <c r="F325" s="78" t="s">
        <v>33</v>
      </c>
    </row>
    <row r="326" spans="1:6" ht="24" customHeight="1" x14ac:dyDescent="0.25">
      <c r="A326" s="78" t="s">
        <v>34</v>
      </c>
      <c r="B326" s="41">
        <f>252.85+1913.6+1282.7</f>
        <v>3449.1499999999996</v>
      </c>
      <c r="C326" s="42">
        <f>76234.25+383988.8+880457.9</f>
        <v>1340680.95</v>
      </c>
      <c r="D326" s="42">
        <f>22235+65453.05+55758.3</f>
        <v>143446.35</v>
      </c>
      <c r="E326" s="39">
        <f t="shared" si="14"/>
        <v>1487576.45</v>
      </c>
      <c r="F326" s="78" t="s">
        <v>34</v>
      </c>
    </row>
    <row r="327" spans="1:6" ht="24" customHeight="1" x14ac:dyDescent="0.25">
      <c r="A327" s="78" t="s">
        <v>0</v>
      </c>
      <c r="B327" s="41">
        <f>262.15+1622.65+1302</f>
        <v>3186.8</v>
      </c>
      <c r="C327" s="42">
        <f>74881.3+391572.65+924196.45</f>
        <v>1390650.4</v>
      </c>
      <c r="D327" s="42">
        <f>18712.6+60508.2+61471.8</f>
        <v>140692.59999999998</v>
      </c>
      <c r="E327" s="39">
        <f t="shared" si="14"/>
        <v>1534529.7999999998</v>
      </c>
      <c r="F327" s="78" t="s">
        <v>0</v>
      </c>
    </row>
    <row r="328" spans="1:6" ht="24" customHeight="1" x14ac:dyDescent="0.25">
      <c r="A328" s="78" t="s">
        <v>1</v>
      </c>
      <c r="B328" s="41">
        <f>114.5+1759.75+1298</f>
        <v>3172.25</v>
      </c>
      <c r="C328" s="42">
        <f>68708.2+377891.6+1049649.1</f>
        <v>1496248.9000000001</v>
      </c>
      <c r="D328" s="42">
        <f>23576.5+56257.15+1115250.45</f>
        <v>1195084.0999999999</v>
      </c>
      <c r="E328" s="39">
        <f t="shared" si="14"/>
        <v>2694505.25</v>
      </c>
      <c r="F328" s="78" t="s">
        <v>1</v>
      </c>
    </row>
    <row r="329" spans="1:6" ht="24" customHeight="1" x14ac:dyDescent="0.25">
      <c r="A329" s="78" t="s">
        <v>2</v>
      </c>
      <c r="B329" s="41">
        <f>80.25+896.95+1279.5</f>
        <v>2256.6999999999998</v>
      </c>
      <c r="C329" s="42">
        <f>70219+357580.95+1098821.8</f>
        <v>1526621.75</v>
      </c>
      <c r="D329" s="42">
        <f>27964.25+43921.95+1160774.3</f>
        <v>1232660.5</v>
      </c>
      <c r="E329" s="39">
        <f t="shared" si="14"/>
        <v>2761538.95</v>
      </c>
      <c r="F329" s="78" t="s">
        <v>2</v>
      </c>
    </row>
    <row r="330" spans="1:6" ht="24" customHeight="1" x14ac:dyDescent="0.25">
      <c r="A330" s="78" t="s">
        <v>36</v>
      </c>
      <c r="B330" s="41">
        <f>260.6+4596.95+1612</f>
        <v>6469.55</v>
      </c>
      <c r="C330" s="42">
        <f>71940.15+346129.9+1142657.35</f>
        <v>1560727.4000000001</v>
      </c>
      <c r="D330" s="42">
        <f>31499.4+41482.25+1209338.1</f>
        <v>1282319.75</v>
      </c>
      <c r="E330" s="39">
        <f t="shared" si="14"/>
        <v>2849516.7</v>
      </c>
      <c r="F330" s="78" t="s">
        <v>36</v>
      </c>
    </row>
    <row r="331" spans="1:6" ht="24" customHeight="1" x14ac:dyDescent="0.25">
      <c r="A331" s="78" t="s">
        <v>38</v>
      </c>
      <c r="B331" s="41">
        <f>212.9+947.2+1727.65</f>
        <v>2887.75</v>
      </c>
      <c r="C331" s="42">
        <f>70289.7+328626.25+1172253.1</f>
        <v>1571169.05</v>
      </c>
      <c r="D331" s="42">
        <f>26203.5+1238159.75</f>
        <v>1264363.25</v>
      </c>
      <c r="E331" s="39">
        <f t="shared" si="14"/>
        <v>2838420.05</v>
      </c>
      <c r="F331" s="78" t="s">
        <v>38</v>
      </c>
    </row>
    <row r="332" spans="1:6" ht="24" customHeight="1" x14ac:dyDescent="0.25">
      <c r="A332" s="78" t="s">
        <v>39</v>
      </c>
      <c r="B332" s="41">
        <f>57.6+701.3+1556.65</f>
        <v>2315.5500000000002</v>
      </c>
      <c r="C332" s="42">
        <f>74778.9+316370.3+1230541.9</f>
        <v>1621691.0999999999</v>
      </c>
      <c r="D332" s="42">
        <f>30246.2+46890.6+1297015.25</f>
        <v>1374152.05</v>
      </c>
      <c r="E332" s="39">
        <f t="shared" ref="E332:E361" si="39">B332+C332+D332</f>
        <v>2998158.7</v>
      </c>
      <c r="F332" s="78" t="s">
        <v>39</v>
      </c>
    </row>
    <row r="333" spans="1:6" ht="24" customHeight="1" x14ac:dyDescent="0.25">
      <c r="A333" s="78" t="s">
        <v>40</v>
      </c>
      <c r="B333" s="41">
        <f>9026.85+25964.75+9873.3</f>
        <v>44864.899999999994</v>
      </c>
      <c r="C333" s="42">
        <f>74891.85+244150.5+1271793.15</f>
        <v>1590835.5</v>
      </c>
      <c r="D333" s="42">
        <f>28073.6+46152.35+1337800.25</f>
        <v>1412026.2</v>
      </c>
      <c r="E333" s="39">
        <f t="shared" si="39"/>
        <v>3047726.5999999996</v>
      </c>
      <c r="F333" s="78" t="s">
        <v>40</v>
      </c>
    </row>
    <row r="334" spans="1:6" ht="24" customHeight="1" x14ac:dyDescent="0.25">
      <c r="A334" s="78"/>
      <c r="B334" s="41"/>
      <c r="C334" s="42"/>
      <c r="D334" s="42"/>
      <c r="E334" s="39"/>
      <c r="F334" s="78"/>
    </row>
    <row r="335" spans="1:6" ht="24" customHeight="1" x14ac:dyDescent="0.25">
      <c r="A335" s="76">
        <v>2015</v>
      </c>
      <c r="B335" s="41"/>
      <c r="C335" s="42"/>
      <c r="D335" s="42"/>
      <c r="E335" s="39"/>
      <c r="F335" s="76">
        <v>2015</v>
      </c>
    </row>
    <row r="336" spans="1:6" ht="24" customHeight="1" x14ac:dyDescent="0.25">
      <c r="A336" s="78" t="s">
        <v>30</v>
      </c>
      <c r="B336" s="41">
        <f>12+2607.3+943.6</f>
        <v>3562.9</v>
      </c>
      <c r="C336" s="42">
        <f>91697.6+245861+1299864.4</f>
        <v>1637423</v>
      </c>
      <c r="D336" s="42">
        <f>26314.15+42565.5+67469.6</f>
        <v>136349.25</v>
      </c>
      <c r="E336" s="39">
        <f t="shared" si="39"/>
        <v>1777335.15</v>
      </c>
      <c r="F336" s="78" t="s">
        <v>30</v>
      </c>
    </row>
    <row r="337" spans="1:6" ht="24" customHeight="1" x14ac:dyDescent="0.25">
      <c r="A337" s="78" t="s">
        <v>31</v>
      </c>
      <c r="B337" s="41">
        <f>157.3+2564.4+591.71</f>
        <v>3313.4100000000003</v>
      </c>
      <c r="C337" s="42">
        <f>96937.9+244448.45+1334201.95</f>
        <v>1675588.2999999998</v>
      </c>
      <c r="D337" s="42">
        <f>27012.55+41250.35+67070.45</f>
        <v>135333.34999999998</v>
      </c>
      <c r="E337" s="39">
        <f t="shared" si="39"/>
        <v>1814235.0599999996</v>
      </c>
      <c r="F337" s="78" t="s">
        <v>31</v>
      </c>
    </row>
    <row r="338" spans="1:6" ht="24" customHeight="1" x14ac:dyDescent="0.25">
      <c r="A338" s="78" t="s">
        <v>3</v>
      </c>
      <c r="B338" s="41">
        <f>2987.5+14525.95+5541.9</f>
        <v>23055.35</v>
      </c>
      <c r="C338" s="42">
        <f>103857.65+206062+1348719.8</f>
        <v>1658639.4500000002</v>
      </c>
      <c r="D338" s="42">
        <f>28726.9+29335.8+67501.35</f>
        <v>125564.05</v>
      </c>
      <c r="E338" s="39">
        <f t="shared" si="39"/>
        <v>1807258.8500000003</v>
      </c>
      <c r="F338" s="78" t="s">
        <v>3</v>
      </c>
    </row>
    <row r="339" spans="1:6" ht="24" customHeight="1" x14ac:dyDescent="0.25">
      <c r="A339" s="78" t="s">
        <v>33</v>
      </c>
      <c r="B339" s="41">
        <f>33.55+2525.95+8292.95</f>
        <v>10852.45</v>
      </c>
      <c r="C339" s="42">
        <f>94653.9+180851.35+1394202.2</f>
        <v>1669707.45</v>
      </c>
      <c r="D339" s="42">
        <f>29077.75+21627.6+76322.65</f>
        <v>127028</v>
      </c>
      <c r="E339" s="39">
        <f t="shared" si="39"/>
        <v>1807587.9</v>
      </c>
      <c r="F339" s="78" t="s">
        <v>33</v>
      </c>
    </row>
    <row r="340" spans="1:6" ht="24" customHeight="1" x14ac:dyDescent="0.25">
      <c r="A340" s="78" t="s">
        <v>34</v>
      </c>
      <c r="B340" s="41">
        <f>550.1+177.95+988.3</f>
        <v>1716.35</v>
      </c>
      <c r="C340" s="42">
        <f>79013.6+207083.3+1425734.8</f>
        <v>1711831.7000000002</v>
      </c>
      <c r="D340" s="42">
        <f>28048.65+23405.7+82779.45</f>
        <v>134233.79999999999</v>
      </c>
      <c r="E340" s="39">
        <f t="shared" si="39"/>
        <v>1847781.8500000003</v>
      </c>
      <c r="F340" s="78" t="s">
        <v>34</v>
      </c>
    </row>
    <row r="341" spans="1:6" ht="24" customHeight="1" x14ac:dyDescent="0.25">
      <c r="A341" s="78" t="s">
        <v>0</v>
      </c>
      <c r="B341" s="41">
        <f>615.45+20+838.8</f>
        <v>1474.25</v>
      </c>
      <c r="C341" s="42">
        <f>70021.15+216202.9+1457237.1</f>
        <v>1743461.1500000001</v>
      </c>
      <c r="D341" s="42">
        <f>26937+20769.7+76706.4</f>
        <v>124413.09999999999</v>
      </c>
      <c r="E341" s="39">
        <f t="shared" si="39"/>
        <v>1869348.5000000002</v>
      </c>
      <c r="F341" s="78" t="s">
        <v>0</v>
      </c>
    </row>
    <row r="342" spans="1:6" ht="24" customHeight="1" x14ac:dyDescent="0.25">
      <c r="A342" s="78" t="s">
        <v>1</v>
      </c>
      <c r="B342" s="41">
        <f>401.5+3129.6+3146.75</f>
        <v>6677.85</v>
      </c>
      <c r="C342" s="42">
        <f>68731.65+242665.25+1521524.25</f>
        <v>1832921.15</v>
      </c>
      <c r="D342" s="42">
        <f>23892.4+20568.35+83821.95</f>
        <v>128282.7</v>
      </c>
      <c r="E342" s="39">
        <f t="shared" si="39"/>
        <v>1967881.7</v>
      </c>
      <c r="F342" s="78" t="s">
        <v>1</v>
      </c>
    </row>
    <row r="343" spans="1:6" ht="24" customHeight="1" x14ac:dyDescent="0.25">
      <c r="A343" s="78" t="s">
        <v>2</v>
      </c>
      <c r="B343" s="41">
        <f>33.65+5884.3+3172.95</f>
        <v>9090.9</v>
      </c>
      <c r="C343" s="42">
        <f>98404+238245.45+1548290.35</f>
        <v>1884939.8</v>
      </c>
      <c r="D343" s="42">
        <f>18847.5+20810.9+87882.85</f>
        <v>127541.25</v>
      </c>
      <c r="E343" s="39">
        <f t="shared" si="39"/>
        <v>2021571.95</v>
      </c>
      <c r="F343" s="78" t="s">
        <v>2</v>
      </c>
    </row>
    <row r="344" spans="1:6" ht="24" customHeight="1" x14ac:dyDescent="0.25">
      <c r="A344" s="78" t="s">
        <v>36</v>
      </c>
      <c r="B344" s="41">
        <f>33.65+5752.9+2164.65</f>
        <v>7951.1999999999989</v>
      </c>
      <c r="C344" s="42">
        <f>97904+241988.6+1601891.6</f>
        <v>1941784.2000000002</v>
      </c>
      <c r="D344" s="42">
        <f>21533.45+24977.8+84973.35</f>
        <v>131484.6</v>
      </c>
      <c r="E344" s="39">
        <f t="shared" si="39"/>
        <v>2081220.0000000002</v>
      </c>
      <c r="F344" s="78" t="s">
        <v>36</v>
      </c>
    </row>
    <row r="345" spans="1:6" ht="24" customHeight="1" x14ac:dyDescent="0.25">
      <c r="A345" s="78" t="s">
        <v>38</v>
      </c>
      <c r="B345" s="41">
        <f>79.75+4865.05+3353.95</f>
        <v>8298.75</v>
      </c>
      <c r="C345" s="42">
        <f>94526.1+264859.2+1630422.1</f>
        <v>1989807.4000000001</v>
      </c>
      <c r="D345" s="42">
        <f>22420+26454+85055.3</f>
        <v>133929.29999999999</v>
      </c>
      <c r="E345" s="39">
        <f t="shared" si="39"/>
        <v>2132035.4500000002</v>
      </c>
      <c r="F345" s="78" t="s">
        <v>38</v>
      </c>
    </row>
    <row r="346" spans="1:6" ht="24" customHeight="1" x14ac:dyDescent="0.25">
      <c r="A346" s="78" t="s">
        <v>39</v>
      </c>
      <c r="B346" s="41">
        <f>85.1+966.65+4132.5</f>
        <v>5184.25</v>
      </c>
      <c r="C346" s="42">
        <f>62171.2+224602.4+1687610.6</f>
        <v>1974384.2000000002</v>
      </c>
      <c r="D346" s="42">
        <f>25229.35+27575.3+95090.65</f>
        <v>147895.29999999999</v>
      </c>
      <c r="E346" s="39">
        <f t="shared" si="39"/>
        <v>2127463.75</v>
      </c>
      <c r="F346" s="78" t="s">
        <v>39</v>
      </c>
    </row>
    <row r="347" spans="1:6" ht="24" customHeight="1" x14ac:dyDescent="0.25">
      <c r="A347" s="78" t="s">
        <v>40</v>
      </c>
      <c r="B347" s="41">
        <f>5090.15+4505.2+6540.5</f>
        <v>16135.849999999999</v>
      </c>
      <c r="C347" s="42">
        <f>21721.55+195751.15+1725972.1</f>
        <v>1943444.8</v>
      </c>
      <c r="D347" s="42">
        <f>21057.05+26596.4+104720.65</f>
        <v>152374.09999999998</v>
      </c>
      <c r="E347" s="39">
        <f t="shared" si="39"/>
        <v>2111954.75</v>
      </c>
      <c r="F347" s="78" t="s">
        <v>40</v>
      </c>
    </row>
    <row r="348" spans="1:6" ht="24" customHeight="1" x14ac:dyDescent="0.25">
      <c r="A348" s="78"/>
      <c r="B348" s="41"/>
      <c r="C348" s="42"/>
      <c r="D348" s="42"/>
      <c r="E348" s="39"/>
      <c r="F348" s="78"/>
    </row>
    <row r="349" spans="1:6" ht="24" customHeight="1" x14ac:dyDescent="0.25">
      <c r="A349" s="76">
        <v>2016</v>
      </c>
      <c r="B349" s="41"/>
      <c r="C349" s="42"/>
      <c r="D349" s="42"/>
      <c r="E349" s="39"/>
      <c r="F349" s="76">
        <v>2016</v>
      </c>
    </row>
    <row r="350" spans="1:6" ht="24" customHeight="1" x14ac:dyDescent="0.25">
      <c r="A350" s="78" t="s">
        <v>30</v>
      </c>
      <c r="B350" s="41">
        <f>35+11931.4+17203.4</f>
        <v>29169.800000000003</v>
      </c>
      <c r="C350" s="42">
        <f>7517.45+142072.65+1782387.05</f>
        <v>1931977.1500000001</v>
      </c>
      <c r="D350" s="42">
        <f>19421.55+24663.95+122738.1</f>
        <v>166823.6</v>
      </c>
      <c r="E350" s="39">
        <f t="shared" si="39"/>
        <v>2127970.5500000003</v>
      </c>
      <c r="F350" s="78" t="s">
        <v>30</v>
      </c>
    </row>
    <row r="351" spans="1:6" ht="24" customHeight="1" x14ac:dyDescent="0.25">
      <c r="A351" s="78" t="s">
        <v>31</v>
      </c>
      <c r="B351" s="41">
        <f>185+504.5+91295.9</f>
        <v>91985.4</v>
      </c>
      <c r="C351" s="42">
        <f>6000+111057.95+1834965.55</f>
        <v>1952023.5</v>
      </c>
      <c r="D351" s="42">
        <f>15055.95+21570.9+152189.2</f>
        <v>188816.05000000002</v>
      </c>
      <c r="E351" s="39">
        <f t="shared" si="39"/>
        <v>2232824.9499999997</v>
      </c>
      <c r="F351" s="78" t="s">
        <v>31</v>
      </c>
    </row>
    <row r="352" spans="1:6" ht="24" customHeight="1" x14ac:dyDescent="0.25">
      <c r="A352" s="78" t="s">
        <v>3</v>
      </c>
      <c r="B352" s="41">
        <f>176+395.6+69061.85</f>
        <v>69633.450000000012</v>
      </c>
      <c r="C352" s="42">
        <f>12920.95+104312.4+1900376.65</f>
        <v>2017610</v>
      </c>
      <c r="D352" s="42">
        <f>14117.65+17644.65+167254</f>
        <v>199016.3</v>
      </c>
      <c r="E352" s="39">
        <f t="shared" si="39"/>
        <v>2286259.75</v>
      </c>
      <c r="F352" s="78" t="s">
        <v>3</v>
      </c>
    </row>
    <row r="353" spans="1:6" ht="24" customHeight="1" x14ac:dyDescent="0.25">
      <c r="A353" s="78" t="s">
        <v>33</v>
      </c>
      <c r="B353" s="41">
        <f>164+553.65+129711.4</f>
        <v>130429.04999999999</v>
      </c>
      <c r="C353" s="42">
        <f>30882.2+70782.85+1944761.75</f>
        <v>2046426.8</v>
      </c>
      <c r="D353" s="42">
        <f>12297.45+12807.55+173231.25</f>
        <v>198336.25</v>
      </c>
      <c r="E353" s="39">
        <f t="shared" si="39"/>
        <v>2375192.1</v>
      </c>
      <c r="F353" s="78" t="s">
        <v>33</v>
      </c>
    </row>
    <row r="354" spans="1:6" ht="24" customHeight="1" x14ac:dyDescent="0.25">
      <c r="A354" s="78" t="s">
        <v>34</v>
      </c>
      <c r="B354" s="41">
        <f>146+727.9+144664.25</f>
        <v>145538.15</v>
      </c>
      <c r="C354" s="42">
        <f>25082.2+56782.85+1989376</f>
        <v>2071241.05</v>
      </c>
      <c r="D354" s="42">
        <f>14809.45+7001.3+184393.95</f>
        <v>206204.7</v>
      </c>
      <c r="E354" s="39">
        <f t="shared" si="39"/>
        <v>2422983.9000000004</v>
      </c>
      <c r="F354" s="78" t="s">
        <v>34</v>
      </c>
    </row>
    <row r="355" spans="1:6" ht="24" customHeight="1" x14ac:dyDescent="0.25">
      <c r="A355" s="78" t="s">
        <v>0</v>
      </c>
      <c r="B355" s="41">
        <f>3064.25+313.55+117614.05</f>
        <v>120991.85</v>
      </c>
      <c r="C355" s="42">
        <f>23595.2+50043.25+2039824.85</f>
        <v>2113463.3000000003</v>
      </c>
      <c r="D355" s="42">
        <f>14007.65+6730.35+237057.1</f>
        <v>257795.1</v>
      </c>
      <c r="E355" s="39">
        <f t="shared" si="39"/>
        <v>2492250.2500000005</v>
      </c>
      <c r="F355" s="78" t="s">
        <v>0</v>
      </c>
    </row>
    <row r="356" spans="1:6" ht="24" customHeight="1" x14ac:dyDescent="0.25">
      <c r="A356" s="78" t="s">
        <v>1</v>
      </c>
      <c r="B356" s="41">
        <f>53+8.3+110097.55</f>
        <v>110158.85</v>
      </c>
      <c r="C356" s="42">
        <f>12093.45+71567.7+2085292.25</f>
        <v>2168953.4</v>
      </c>
      <c r="D356" s="42">
        <f>14036.25+9957.2+228263.1</f>
        <v>252256.55000000002</v>
      </c>
      <c r="E356" s="39">
        <f t="shared" si="39"/>
        <v>2531368.7999999998</v>
      </c>
      <c r="F356" s="78" t="s">
        <v>1</v>
      </c>
    </row>
    <row r="357" spans="1:6" ht="24" customHeight="1" x14ac:dyDescent="0.25">
      <c r="A357" s="78" t="s">
        <v>2</v>
      </c>
      <c r="B357" s="41">
        <f>10058.3+73543.65</f>
        <v>83601.95</v>
      </c>
      <c r="C357" s="42">
        <f>21093.45+67938.25+2145955.45</f>
        <v>2234987.1500000004</v>
      </c>
      <c r="D357" s="42">
        <f>9997.1+11241.75+245278.85</f>
        <v>266517.7</v>
      </c>
      <c r="E357" s="39">
        <f t="shared" si="39"/>
        <v>2585106.8000000007</v>
      </c>
      <c r="F357" s="78" t="s">
        <v>2</v>
      </c>
    </row>
    <row r="358" spans="1:6" ht="18" customHeight="1" x14ac:dyDescent="0.25">
      <c r="A358" s="78" t="s">
        <v>36</v>
      </c>
      <c r="B358" s="41">
        <f>58.3+148531.8</f>
        <v>148590.09999999998</v>
      </c>
      <c r="C358" s="42">
        <f>20648.25+55738.25+2150388.35</f>
        <v>2226774.85</v>
      </c>
      <c r="D358" s="42">
        <f>12386.05+11147.3+252174.2</f>
        <v>275707.55</v>
      </c>
      <c r="E358" s="39">
        <f t="shared" si="39"/>
        <v>2651072.5</v>
      </c>
      <c r="F358" s="78" t="s">
        <v>36</v>
      </c>
    </row>
    <row r="359" spans="1:6" ht="18" customHeight="1" x14ac:dyDescent="0.25">
      <c r="A359" s="78" t="s">
        <v>38</v>
      </c>
      <c r="B359" s="41">
        <f>110.3+182829.45</f>
        <v>182939.75</v>
      </c>
      <c r="C359" s="42">
        <f>23808.2+58236.5+2128923.4</f>
        <v>2210968.1</v>
      </c>
      <c r="D359" s="42">
        <f>12906.7+10132.5+257866.6</f>
        <v>280905.8</v>
      </c>
      <c r="E359" s="39">
        <f t="shared" si="39"/>
        <v>2674813.65</v>
      </c>
      <c r="F359" s="78" t="s">
        <v>38</v>
      </c>
    </row>
    <row r="360" spans="1:6" ht="18" customHeight="1" x14ac:dyDescent="0.25">
      <c r="A360" s="78" t="s">
        <v>39</v>
      </c>
      <c r="B360" s="41">
        <f>6345.15+248696.3</f>
        <v>255041.44999999998</v>
      </c>
      <c r="C360" s="42">
        <f>22308.2+57064.5+2099345.35</f>
        <v>2178718.0500000003</v>
      </c>
      <c r="D360" s="42">
        <f>11648.8+10120.2+270198.2</f>
        <v>291967.2</v>
      </c>
      <c r="E360" s="39">
        <f t="shared" si="39"/>
        <v>2725726.7000000007</v>
      </c>
      <c r="F360" s="78" t="s">
        <v>39</v>
      </c>
    </row>
    <row r="361" spans="1:6" ht="18" customHeight="1" x14ac:dyDescent="0.25">
      <c r="A361" s="78" t="s">
        <v>40</v>
      </c>
      <c r="B361" s="41">
        <f>6295.15+229041.65</f>
        <v>235336.8</v>
      </c>
      <c r="C361" s="42">
        <f>16958.2+59658.3+2130666</f>
        <v>2207282.5</v>
      </c>
      <c r="D361" s="42">
        <f>10636.4+9849.5+262621.5</f>
        <v>283107.40000000002</v>
      </c>
      <c r="E361" s="39">
        <f t="shared" si="39"/>
        <v>2725726.6999999997</v>
      </c>
      <c r="F361" s="78" t="s">
        <v>40</v>
      </c>
    </row>
    <row r="362" spans="1:6" ht="18" customHeight="1" x14ac:dyDescent="0.25">
      <c r="A362" s="78"/>
      <c r="B362" s="41"/>
      <c r="C362" s="42"/>
      <c r="D362" s="42"/>
      <c r="E362" s="39"/>
      <c r="F362" s="78"/>
    </row>
    <row r="363" spans="1:6" ht="20.100000000000001" customHeight="1" x14ac:dyDescent="0.25">
      <c r="A363" s="88" t="s">
        <v>72</v>
      </c>
      <c r="B363" s="41"/>
      <c r="C363" s="42"/>
      <c r="D363" s="42"/>
      <c r="E363" s="26"/>
      <c r="F363" s="86"/>
    </row>
    <row r="364" spans="1:6" ht="20.100000000000001" customHeight="1" x14ac:dyDescent="0.25">
      <c r="A364" s="89" t="s">
        <v>78</v>
      </c>
      <c r="B364" s="20"/>
      <c r="C364" s="20"/>
      <c r="D364" s="20"/>
      <c r="E364" s="26"/>
      <c r="F364" s="75"/>
    </row>
  </sheetData>
  <mergeCells count="2">
    <mergeCell ref="A1:F1"/>
    <mergeCell ref="A2:F2"/>
  </mergeCells>
  <phoneticPr fontId="0" type="noConversion"/>
  <pageMargins left="1.14173228346457" right="0.74803149606299202" top="0.98425196850393704" bottom="0.76" header="0.511811023622047" footer="0.511811023622047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53"/>
  <sheetViews>
    <sheetView zoomScale="75" workbookViewId="0">
      <pane xSplit="1" ySplit="43" topLeftCell="B209" activePane="bottomRight" state="frozen"/>
      <selection pane="topRight" activeCell="B1" sqref="B1"/>
      <selection pane="bottomLeft" activeCell="A44" sqref="A44"/>
      <selection pane="bottomRight" activeCell="A184" sqref="A184:XFD202"/>
    </sheetView>
  </sheetViews>
  <sheetFormatPr defaultRowHeight="12.75" x14ac:dyDescent="0.2"/>
  <cols>
    <col min="1" max="1" width="20.7109375" style="64" customWidth="1"/>
    <col min="2" max="5" width="20.7109375" customWidth="1"/>
    <col min="6" max="6" width="20.7109375" style="64" customWidth="1"/>
  </cols>
  <sheetData>
    <row r="1" spans="1:6" s="20" customFormat="1" ht="24.95" customHeight="1" x14ac:dyDescent="0.25">
      <c r="A1" s="37" t="s">
        <v>66</v>
      </c>
      <c r="B1" s="37"/>
      <c r="C1" s="37"/>
      <c r="D1" s="38"/>
      <c r="E1" s="38"/>
      <c r="F1" s="37"/>
    </row>
    <row r="2" spans="1:6" s="20" customFormat="1" ht="24.95" customHeight="1" x14ac:dyDescent="0.25">
      <c r="A2" s="37" t="s">
        <v>42</v>
      </c>
      <c r="B2" s="37"/>
      <c r="C2" s="37"/>
      <c r="D2" s="38"/>
      <c r="E2" s="38"/>
      <c r="F2" s="37"/>
    </row>
    <row r="3" spans="1:6" s="20" customFormat="1" ht="24.95" customHeight="1" thickBot="1" x14ac:dyDescent="0.3">
      <c r="A3" s="37"/>
      <c r="B3" s="37"/>
      <c r="C3" s="37"/>
      <c r="D3" s="38"/>
      <c r="E3" s="38"/>
      <c r="F3" s="37"/>
    </row>
    <row r="4" spans="1:6" s="75" customFormat="1" ht="24.95" customHeight="1" x14ac:dyDescent="0.25">
      <c r="A4" s="80">
        <v>1</v>
      </c>
      <c r="B4" s="80">
        <v>2</v>
      </c>
      <c r="C4" s="80">
        <v>3</v>
      </c>
      <c r="D4" s="80">
        <v>4</v>
      </c>
      <c r="E4" s="80">
        <v>5</v>
      </c>
      <c r="F4" s="80">
        <v>6</v>
      </c>
    </row>
    <row r="5" spans="1:6" s="75" customFormat="1" ht="24.95" customHeight="1" x14ac:dyDescent="0.25">
      <c r="A5" s="36" t="s">
        <v>43</v>
      </c>
      <c r="B5" s="36" t="s">
        <v>44</v>
      </c>
      <c r="C5" s="36" t="s">
        <v>50</v>
      </c>
      <c r="D5" s="36" t="s">
        <v>46</v>
      </c>
      <c r="E5" s="36" t="s">
        <v>7</v>
      </c>
      <c r="F5" s="36" t="s">
        <v>43</v>
      </c>
    </row>
    <row r="6" spans="1:6" s="75" customFormat="1" ht="24.95" customHeight="1" thickBot="1" x14ac:dyDescent="0.3">
      <c r="A6" s="73" t="s">
        <v>20</v>
      </c>
      <c r="B6" s="73" t="s">
        <v>47</v>
      </c>
      <c r="C6" s="73" t="s">
        <v>48</v>
      </c>
      <c r="D6" s="73" t="s">
        <v>18</v>
      </c>
      <c r="E6" s="73"/>
      <c r="F6" s="73" t="s">
        <v>20</v>
      </c>
    </row>
    <row r="7" spans="1:6" s="20" customFormat="1" ht="24.95" hidden="1" customHeight="1" x14ac:dyDescent="0.25">
      <c r="A7" s="78"/>
      <c r="B7" s="18"/>
      <c r="C7" s="18"/>
      <c r="D7" s="18"/>
      <c r="E7" s="18"/>
      <c r="F7" s="76"/>
    </row>
    <row r="8" spans="1:6" s="20" customFormat="1" ht="24.95" hidden="1" customHeight="1" x14ac:dyDescent="0.25">
      <c r="A8" s="91">
        <v>1993</v>
      </c>
      <c r="B8" s="31">
        <v>3551</v>
      </c>
      <c r="C8" s="31">
        <v>150</v>
      </c>
      <c r="D8" s="31">
        <v>2556</v>
      </c>
      <c r="E8" s="31">
        <f>SUM(B8+C8+D8)</f>
        <v>6257</v>
      </c>
      <c r="F8" s="91">
        <v>1993</v>
      </c>
    </row>
    <row r="9" spans="1:6" s="20" customFormat="1" ht="24.95" hidden="1" customHeight="1" x14ac:dyDescent="0.25">
      <c r="A9" s="91">
        <v>1994</v>
      </c>
      <c r="B9" s="26">
        <v>5356</v>
      </c>
      <c r="C9" s="26">
        <v>414</v>
      </c>
      <c r="D9" s="26">
        <v>5087</v>
      </c>
      <c r="E9" s="31">
        <f t="shared" ref="E9:E14" si="0">SUM(B9+C9+D9)</f>
        <v>10857</v>
      </c>
      <c r="F9" s="91">
        <v>1994</v>
      </c>
    </row>
    <row r="10" spans="1:6" s="20" customFormat="1" ht="24.95" hidden="1" customHeight="1" x14ac:dyDescent="0.25">
      <c r="A10" s="91">
        <v>1995</v>
      </c>
      <c r="B10" s="26">
        <v>3385</v>
      </c>
      <c r="C10" s="26">
        <v>1674</v>
      </c>
      <c r="D10" s="26">
        <v>6465</v>
      </c>
      <c r="E10" s="31">
        <f t="shared" si="0"/>
        <v>11524</v>
      </c>
      <c r="F10" s="91">
        <v>1995</v>
      </c>
    </row>
    <row r="11" spans="1:6" s="20" customFormat="1" ht="24.95" hidden="1" customHeight="1" x14ac:dyDescent="0.25">
      <c r="A11" s="91">
        <v>1996</v>
      </c>
      <c r="B11" s="26">
        <v>1018</v>
      </c>
      <c r="C11" s="26">
        <v>3041</v>
      </c>
      <c r="D11" s="26">
        <v>8535</v>
      </c>
      <c r="E11" s="31">
        <f>SUM(B11+C11+D11)</f>
        <v>12594</v>
      </c>
      <c r="F11" s="91">
        <v>1996</v>
      </c>
    </row>
    <row r="12" spans="1:6" s="20" customFormat="1" ht="20.100000000000001" hidden="1" customHeight="1" x14ac:dyDescent="0.25">
      <c r="A12" s="91">
        <v>1997</v>
      </c>
      <c r="B12" s="26">
        <v>9086</v>
      </c>
      <c r="C12" s="26">
        <v>906</v>
      </c>
      <c r="D12" s="26">
        <v>2366</v>
      </c>
      <c r="E12" s="31">
        <f t="shared" si="0"/>
        <v>12358</v>
      </c>
      <c r="F12" s="91">
        <v>1997</v>
      </c>
    </row>
    <row r="13" spans="1:6" s="20" customFormat="1" ht="20.100000000000001" hidden="1" customHeight="1" x14ac:dyDescent="0.25">
      <c r="A13" s="91">
        <v>1998</v>
      </c>
      <c r="B13" s="26">
        <v>10662</v>
      </c>
      <c r="C13" s="26">
        <v>3650</v>
      </c>
      <c r="D13" s="26">
        <v>17302</v>
      </c>
      <c r="E13" s="31">
        <f t="shared" si="0"/>
        <v>31614</v>
      </c>
      <c r="F13" s="91">
        <v>1998</v>
      </c>
    </row>
    <row r="14" spans="1:6" s="20" customFormat="1" ht="20.100000000000001" hidden="1" customHeight="1" x14ac:dyDescent="0.25">
      <c r="A14" s="91">
        <v>1999</v>
      </c>
      <c r="B14" s="31">
        <v>1011</v>
      </c>
      <c r="C14" s="31">
        <v>5796</v>
      </c>
      <c r="D14" s="31">
        <v>23984</v>
      </c>
      <c r="E14" s="31">
        <f t="shared" si="0"/>
        <v>30791</v>
      </c>
      <c r="F14" s="91">
        <v>1999</v>
      </c>
    </row>
    <row r="15" spans="1:6" s="20" customFormat="1" ht="20.100000000000001" hidden="1" customHeight="1" x14ac:dyDescent="0.25">
      <c r="A15" s="82" t="s">
        <v>51</v>
      </c>
      <c r="B15" s="26">
        <v>2045</v>
      </c>
      <c r="C15" s="26">
        <v>6678</v>
      </c>
      <c r="D15" s="26">
        <v>38615</v>
      </c>
      <c r="E15" s="26">
        <v>47338</v>
      </c>
      <c r="F15" s="82" t="s">
        <v>51</v>
      </c>
    </row>
    <row r="16" spans="1:6" s="20" customFormat="1" ht="20.100000000000001" hidden="1" customHeight="1" x14ac:dyDescent="0.25">
      <c r="A16" s="82" t="s">
        <v>53</v>
      </c>
      <c r="B16" s="21">
        <v>5691</v>
      </c>
      <c r="C16" s="21">
        <v>12809</v>
      </c>
      <c r="D16" s="21">
        <v>51114</v>
      </c>
      <c r="E16" s="26">
        <f>SUM(B16+C16+D16)</f>
        <v>69614</v>
      </c>
      <c r="F16" s="82" t="s">
        <v>53</v>
      </c>
    </row>
    <row r="17" spans="1:6" s="20" customFormat="1" ht="20.100000000000001" hidden="1" customHeight="1" x14ac:dyDescent="0.25">
      <c r="A17" s="82" t="s">
        <v>55</v>
      </c>
      <c r="B17" s="21">
        <v>12101</v>
      </c>
      <c r="C17" s="21">
        <v>18411</v>
      </c>
      <c r="D17" s="21">
        <v>54741</v>
      </c>
      <c r="E17" s="26">
        <f>SUM(B17+C17+D17)</f>
        <v>85253</v>
      </c>
      <c r="F17" s="82" t="s">
        <v>55</v>
      </c>
    </row>
    <row r="18" spans="1:6" s="20" customFormat="1" ht="20.100000000000001" hidden="1" customHeight="1" x14ac:dyDescent="0.25">
      <c r="A18" s="75"/>
      <c r="B18" s="26"/>
      <c r="C18" s="26"/>
      <c r="D18" s="26"/>
      <c r="E18" s="26"/>
      <c r="F18" s="92"/>
    </row>
    <row r="19" spans="1:6" s="20" customFormat="1" ht="20.100000000000001" hidden="1" customHeight="1" x14ac:dyDescent="0.25">
      <c r="A19" s="36">
        <v>1998</v>
      </c>
      <c r="B19" s="26"/>
      <c r="C19" s="26"/>
      <c r="D19" s="26"/>
      <c r="E19" s="26"/>
      <c r="F19" s="92">
        <v>1998</v>
      </c>
    </row>
    <row r="20" spans="1:6" s="20" customFormat="1" ht="20.100000000000001" hidden="1" customHeight="1" x14ac:dyDescent="0.25">
      <c r="A20" s="84" t="s">
        <v>30</v>
      </c>
      <c r="B20" s="26">
        <v>9409</v>
      </c>
      <c r="C20" s="26">
        <v>906</v>
      </c>
      <c r="D20" s="26">
        <v>2043</v>
      </c>
      <c r="E20" s="26">
        <f t="shared" ref="E20:E29" si="1">SUM(B20+C20+D20)</f>
        <v>12358</v>
      </c>
      <c r="F20" s="93" t="s">
        <v>30</v>
      </c>
    </row>
    <row r="21" spans="1:6" s="20" customFormat="1" ht="20.100000000000001" hidden="1" customHeight="1" x14ac:dyDescent="0.25">
      <c r="A21" s="84" t="s">
        <v>31</v>
      </c>
      <c r="B21" s="26">
        <v>10111</v>
      </c>
      <c r="C21" s="26">
        <v>906</v>
      </c>
      <c r="D21" s="26">
        <v>1341</v>
      </c>
      <c r="E21" s="26">
        <f t="shared" si="1"/>
        <v>12358</v>
      </c>
      <c r="F21" s="93" t="s">
        <v>31</v>
      </c>
    </row>
    <row r="22" spans="1:6" s="20" customFormat="1" ht="20.100000000000001" hidden="1" customHeight="1" x14ac:dyDescent="0.25">
      <c r="A22" s="84" t="s">
        <v>3</v>
      </c>
      <c r="B22" s="26">
        <v>11408</v>
      </c>
      <c r="C22" s="26">
        <v>596</v>
      </c>
      <c r="D22" s="26">
        <v>354</v>
      </c>
      <c r="E22" s="26">
        <f t="shared" si="1"/>
        <v>12358</v>
      </c>
      <c r="F22" s="93" t="s">
        <v>3</v>
      </c>
    </row>
    <row r="23" spans="1:6" s="20" customFormat="1" ht="20.100000000000001" hidden="1" customHeight="1" x14ac:dyDescent="0.25">
      <c r="A23" s="84" t="s">
        <v>33</v>
      </c>
      <c r="B23" s="26">
        <v>12358</v>
      </c>
      <c r="C23" s="26" t="s">
        <v>52</v>
      </c>
      <c r="D23" s="26" t="s">
        <v>52</v>
      </c>
      <c r="E23" s="26">
        <v>12358</v>
      </c>
      <c r="F23" s="93" t="s">
        <v>33</v>
      </c>
    </row>
    <row r="24" spans="1:6" s="20" customFormat="1" ht="20.100000000000001" hidden="1" customHeight="1" x14ac:dyDescent="0.25">
      <c r="A24" s="84" t="s">
        <v>34</v>
      </c>
      <c r="B24" s="26">
        <v>12358</v>
      </c>
      <c r="C24" s="26">
        <v>2500</v>
      </c>
      <c r="D24" s="26">
        <v>3999</v>
      </c>
      <c r="E24" s="26">
        <f t="shared" si="1"/>
        <v>18857</v>
      </c>
      <c r="F24" s="93" t="s">
        <v>34</v>
      </c>
    </row>
    <row r="25" spans="1:6" s="20" customFormat="1" ht="20.100000000000001" hidden="1" customHeight="1" x14ac:dyDescent="0.25">
      <c r="A25" s="84" t="s">
        <v>0</v>
      </c>
      <c r="B25" s="26">
        <v>12358</v>
      </c>
      <c r="C25" s="26">
        <v>3200</v>
      </c>
      <c r="D25" s="26">
        <v>8538</v>
      </c>
      <c r="E25" s="26">
        <f t="shared" si="1"/>
        <v>24096</v>
      </c>
      <c r="F25" s="93" t="s">
        <v>0</v>
      </c>
    </row>
    <row r="26" spans="1:6" s="20" customFormat="1" ht="20.100000000000001" hidden="1" customHeight="1" x14ac:dyDescent="0.25">
      <c r="A26" s="84" t="s">
        <v>36</v>
      </c>
      <c r="B26" s="26">
        <v>13916</v>
      </c>
      <c r="C26" s="26">
        <v>3650</v>
      </c>
      <c r="D26" s="26">
        <v>14048</v>
      </c>
      <c r="E26" s="26">
        <f t="shared" si="1"/>
        <v>31614</v>
      </c>
      <c r="F26" s="93" t="s">
        <v>36</v>
      </c>
    </row>
    <row r="27" spans="1:6" s="20" customFormat="1" ht="20.100000000000001" hidden="1" customHeight="1" x14ac:dyDescent="0.25">
      <c r="A27" s="78" t="s">
        <v>38</v>
      </c>
      <c r="B27" s="26">
        <v>12721</v>
      </c>
      <c r="C27" s="26">
        <v>3650</v>
      </c>
      <c r="D27" s="26">
        <v>15243</v>
      </c>
      <c r="E27" s="26">
        <f t="shared" si="1"/>
        <v>31614</v>
      </c>
      <c r="F27" s="94" t="s">
        <v>38</v>
      </c>
    </row>
    <row r="28" spans="1:6" s="20" customFormat="1" ht="20.100000000000001" hidden="1" customHeight="1" x14ac:dyDescent="0.25">
      <c r="A28" s="78" t="s">
        <v>39</v>
      </c>
      <c r="B28" s="26">
        <v>11598</v>
      </c>
      <c r="C28" s="26">
        <v>3650</v>
      </c>
      <c r="D28" s="26">
        <v>16366</v>
      </c>
      <c r="E28" s="26">
        <f t="shared" si="1"/>
        <v>31614</v>
      </c>
      <c r="F28" s="94" t="s">
        <v>39</v>
      </c>
    </row>
    <row r="29" spans="1:6" s="20" customFormat="1" ht="20.100000000000001" hidden="1" customHeight="1" x14ac:dyDescent="0.25">
      <c r="A29" s="84" t="s">
        <v>40</v>
      </c>
      <c r="B29" s="26">
        <v>10662</v>
      </c>
      <c r="C29" s="26">
        <v>3650</v>
      </c>
      <c r="D29" s="26">
        <v>17302</v>
      </c>
      <c r="E29" s="26">
        <f t="shared" si="1"/>
        <v>31614</v>
      </c>
      <c r="F29" s="93" t="s">
        <v>40</v>
      </c>
    </row>
    <row r="30" spans="1:6" s="20" customFormat="1" ht="20.100000000000001" hidden="1" customHeight="1" x14ac:dyDescent="0.25">
      <c r="A30" s="85"/>
      <c r="B30" s="26"/>
      <c r="C30" s="26"/>
      <c r="D30" s="26"/>
      <c r="E30" s="26"/>
      <c r="F30" s="95"/>
    </row>
    <row r="31" spans="1:6" s="20" customFormat="1" ht="20.100000000000001" hidden="1" customHeight="1" x14ac:dyDescent="0.25">
      <c r="A31" s="82" t="s">
        <v>49</v>
      </c>
      <c r="B31" s="26"/>
      <c r="C31" s="26"/>
      <c r="D31" s="26"/>
      <c r="E31" s="26"/>
      <c r="F31" s="96" t="s">
        <v>49</v>
      </c>
    </row>
    <row r="32" spans="1:6" s="20" customFormat="1" ht="20.100000000000001" hidden="1" customHeight="1" x14ac:dyDescent="0.25">
      <c r="A32" s="75" t="s">
        <v>30</v>
      </c>
      <c r="B32" s="26">
        <v>10761</v>
      </c>
      <c r="C32" s="26">
        <v>3650</v>
      </c>
      <c r="D32" s="26">
        <v>17203</v>
      </c>
      <c r="E32" s="26">
        <f t="shared" ref="E32:E44" si="2">SUM(B32+C32+D32)</f>
        <v>31614</v>
      </c>
      <c r="F32" s="92" t="s">
        <v>30</v>
      </c>
    </row>
    <row r="33" spans="1:13" s="20" customFormat="1" ht="20.100000000000001" hidden="1" customHeight="1" x14ac:dyDescent="0.25">
      <c r="A33" s="75" t="s">
        <v>31</v>
      </c>
      <c r="B33" s="26">
        <v>10819</v>
      </c>
      <c r="C33" s="26">
        <v>3650</v>
      </c>
      <c r="D33" s="26">
        <v>17145</v>
      </c>
      <c r="E33" s="26">
        <f t="shared" si="2"/>
        <v>31614</v>
      </c>
      <c r="F33" s="92" t="s">
        <v>31</v>
      </c>
    </row>
    <row r="34" spans="1:13" s="20" customFormat="1" ht="20.100000000000001" hidden="1" customHeight="1" x14ac:dyDescent="0.25">
      <c r="A34" s="75" t="s">
        <v>3</v>
      </c>
      <c r="B34" s="26">
        <v>11321</v>
      </c>
      <c r="C34" s="26">
        <v>3650</v>
      </c>
      <c r="D34" s="26">
        <v>16643</v>
      </c>
      <c r="E34" s="26">
        <f t="shared" si="2"/>
        <v>31614</v>
      </c>
      <c r="F34" s="92" t="s">
        <v>3</v>
      </c>
    </row>
    <row r="35" spans="1:13" s="20" customFormat="1" ht="20.100000000000001" hidden="1" customHeight="1" x14ac:dyDescent="0.25">
      <c r="A35" s="75" t="s">
        <v>33</v>
      </c>
      <c r="B35" s="31">
        <v>6258</v>
      </c>
      <c r="C35" s="26">
        <v>3650</v>
      </c>
      <c r="D35" s="31">
        <v>16474</v>
      </c>
      <c r="E35" s="26">
        <f t="shared" si="2"/>
        <v>26382</v>
      </c>
      <c r="F35" s="92" t="s">
        <v>33</v>
      </c>
    </row>
    <row r="36" spans="1:13" s="20" customFormat="1" ht="20.100000000000001" hidden="1" customHeight="1" x14ac:dyDescent="0.25">
      <c r="A36" s="75" t="s">
        <v>34</v>
      </c>
      <c r="B36" s="26">
        <v>4324</v>
      </c>
      <c r="C36" s="26">
        <v>3650</v>
      </c>
      <c r="D36" s="26">
        <v>16184</v>
      </c>
      <c r="E36" s="26">
        <f t="shared" si="2"/>
        <v>24158</v>
      </c>
      <c r="F36" s="92" t="s">
        <v>34</v>
      </c>
    </row>
    <row r="37" spans="1:13" s="20" customFormat="1" ht="20.100000000000001" hidden="1" customHeight="1" x14ac:dyDescent="0.25">
      <c r="A37" s="75" t="s">
        <v>0</v>
      </c>
      <c r="B37" s="26">
        <v>446</v>
      </c>
      <c r="C37" s="26">
        <v>3650</v>
      </c>
      <c r="D37" s="26">
        <v>16061</v>
      </c>
      <c r="E37" s="26">
        <f t="shared" si="2"/>
        <v>20157</v>
      </c>
      <c r="F37" s="92" t="s">
        <v>0</v>
      </c>
    </row>
    <row r="38" spans="1:13" s="20" customFormat="1" ht="20.100000000000001" hidden="1" customHeight="1" x14ac:dyDescent="0.25">
      <c r="A38" s="75" t="s">
        <v>1</v>
      </c>
      <c r="B38" s="26">
        <v>3144</v>
      </c>
      <c r="C38" s="31">
        <v>3650</v>
      </c>
      <c r="D38" s="26">
        <v>13363</v>
      </c>
      <c r="E38" s="26">
        <f t="shared" si="2"/>
        <v>20157</v>
      </c>
      <c r="F38" s="92" t="s">
        <v>1</v>
      </c>
    </row>
    <row r="39" spans="1:13" s="20" customFormat="1" ht="20.100000000000001" hidden="1" customHeight="1" x14ac:dyDescent="0.25">
      <c r="A39" s="75" t="s">
        <v>2</v>
      </c>
      <c r="B39" s="26">
        <v>7661</v>
      </c>
      <c r="C39" s="31">
        <v>3650</v>
      </c>
      <c r="D39" s="26">
        <v>14052</v>
      </c>
      <c r="E39" s="26">
        <f t="shared" si="2"/>
        <v>25363</v>
      </c>
      <c r="F39" s="92" t="s">
        <v>2</v>
      </c>
    </row>
    <row r="40" spans="1:13" s="20" customFormat="1" ht="20.100000000000001" hidden="1" customHeight="1" x14ac:dyDescent="0.25">
      <c r="A40" s="75" t="s">
        <v>36</v>
      </c>
      <c r="B40" s="26">
        <v>4660</v>
      </c>
      <c r="C40" s="26">
        <v>5356</v>
      </c>
      <c r="D40" s="26">
        <v>18960</v>
      </c>
      <c r="E40" s="26">
        <f t="shared" si="2"/>
        <v>28976</v>
      </c>
      <c r="F40" s="92" t="s">
        <v>36</v>
      </c>
    </row>
    <row r="41" spans="1:13" s="20" customFormat="1" ht="20.100000000000001" hidden="1" customHeight="1" x14ac:dyDescent="0.25">
      <c r="A41" s="78" t="s">
        <v>38</v>
      </c>
      <c r="B41" s="31">
        <v>5911</v>
      </c>
      <c r="C41" s="31">
        <v>5356</v>
      </c>
      <c r="D41" s="31">
        <v>17709</v>
      </c>
      <c r="E41" s="31">
        <f t="shared" si="2"/>
        <v>28976</v>
      </c>
      <c r="F41" s="94" t="s">
        <v>38</v>
      </c>
    </row>
    <row r="42" spans="1:13" s="20" customFormat="1" ht="20.100000000000001" hidden="1" customHeight="1" x14ac:dyDescent="0.25">
      <c r="A42" s="78" t="s">
        <v>39</v>
      </c>
      <c r="B42" s="31">
        <v>5312</v>
      </c>
      <c r="C42" s="31">
        <v>5556</v>
      </c>
      <c r="D42" s="31">
        <v>18108</v>
      </c>
      <c r="E42" s="31">
        <f t="shared" si="2"/>
        <v>28976</v>
      </c>
      <c r="F42" s="94" t="s">
        <v>39</v>
      </c>
    </row>
    <row r="43" spans="1:13" s="20" customFormat="1" ht="20.100000000000001" hidden="1" customHeight="1" x14ac:dyDescent="0.25">
      <c r="A43" s="78" t="s">
        <v>40</v>
      </c>
      <c r="B43" s="31">
        <v>1011</v>
      </c>
      <c r="C43" s="31">
        <v>5796</v>
      </c>
      <c r="D43" s="31">
        <v>23984</v>
      </c>
      <c r="E43" s="31">
        <f t="shared" si="2"/>
        <v>30791</v>
      </c>
      <c r="F43" s="94" t="s">
        <v>40</v>
      </c>
    </row>
    <row r="44" spans="1:13" s="20" customFormat="1" ht="20.100000000000001" customHeight="1" x14ac:dyDescent="0.25">
      <c r="A44" s="66">
        <v>2003</v>
      </c>
      <c r="B44" s="31">
        <v>17219</v>
      </c>
      <c r="C44" s="31">
        <v>14545</v>
      </c>
      <c r="D44" s="31">
        <v>82277</v>
      </c>
      <c r="E44" s="31">
        <f t="shared" si="2"/>
        <v>114041</v>
      </c>
      <c r="F44" s="66">
        <v>2003</v>
      </c>
    </row>
    <row r="45" spans="1:13" s="20" customFormat="1" ht="20.100000000000001" customHeight="1" x14ac:dyDescent="0.25">
      <c r="A45" s="82" t="s">
        <v>61</v>
      </c>
      <c r="B45" s="21">
        <f>B58</f>
        <v>19217</v>
      </c>
      <c r="C45" s="21">
        <f>C58</f>
        <v>10848</v>
      </c>
      <c r="D45" s="21">
        <f>D58</f>
        <v>101423</v>
      </c>
      <c r="E45" s="21">
        <f>E58</f>
        <v>131488</v>
      </c>
      <c r="F45" s="82" t="s">
        <v>61</v>
      </c>
    </row>
    <row r="46" spans="1:13" s="20" customFormat="1" ht="20.100000000000001" customHeight="1" x14ac:dyDescent="0.25">
      <c r="A46" s="97" t="s">
        <v>62</v>
      </c>
      <c r="B46" s="30">
        <v>28161</v>
      </c>
      <c r="C46" s="30">
        <v>8415</v>
      </c>
      <c r="D46" s="30">
        <v>100942</v>
      </c>
      <c r="E46" s="31">
        <f>SUM(B46+C46+D46)</f>
        <v>137518</v>
      </c>
      <c r="F46" s="97" t="s">
        <v>62</v>
      </c>
      <c r="G46" s="18"/>
      <c r="H46" s="18"/>
      <c r="I46" s="18"/>
      <c r="J46" s="18"/>
      <c r="K46" s="18"/>
      <c r="L46" s="18"/>
      <c r="M46" s="18"/>
    </row>
    <row r="47" spans="1:13" s="20" customFormat="1" ht="20.100000000000001" customHeight="1" x14ac:dyDescent="0.25">
      <c r="A47" s="82" t="s">
        <v>63</v>
      </c>
      <c r="B47" s="21">
        <v>7947</v>
      </c>
      <c r="C47" s="21">
        <v>30873</v>
      </c>
      <c r="D47" s="21">
        <v>98698</v>
      </c>
      <c r="E47" s="21">
        <f>SUM(B47+C47+D47)</f>
        <v>137518</v>
      </c>
      <c r="F47" s="82" t="s">
        <v>63</v>
      </c>
    </row>
    <row r="48" spans="1:13" s="20" customFormat="1" ht="20.100000000000001" customHeight="1" x14ac:dyDescent="0.25">
      <c r="A48" s="82" t="s">
        <v>69</v>
      </c>
      <c r="B48" s="21">
        <v>29126</v>
      </c>
      <c r="C48" s="21">
        <v>11323</v>
      </c>
      <c r="D48" s="21">
        <v>100665</v>
      </c>
      <c r="E48" s="21">
        <f>SUM(B48+C48+D48)</f>
        <v>141114</v>
      </c>
      <c r="F48" s="82" t="s">
        <v>69</v>
      </c>
    </row>
    <row r="49" spans="1:6" s="20" customFormat="1" ht="20.100000000000001" customHeight="1" x14ac:dyDescent="0.25">
      <c r="A49" s="82" t="s">
        <v>71</v>
      </c>
      <c r="B49" s="21">
        <v>24466.25</v>
      </c>
      <c r="C49" s="21">
        <v>0</v>
      </c>
      <c r="D49" s="21">
        <v>85817.45</v>
      </c>
      <c r="E49" s="21">
        <f>SUM(B49+C49+D49)</f>
        <v>110283.7</v>
      </c>
      <c r="F49" s="82" t="s">
        <v>71</v>
      </c>
    </row>
    <row r="50" spans="1:6" s="20" customFormat="1" ht="20.100000000000001" customHeight="1" x14ac:dyDescent="0.25">
      <c r="A50" s="82" t="s">
        <v>73</v>
      </c>
      <c r="B50" s="21">
        <f>B133</f>
        <v>24666</v>
      </c>
      <c r="C50" s="21">
        <f>C133</f>
        <v>0</v>
      </c>
      <c r="D50" s="21">
        <f>D133</f>
        <v>79310</v>
      </c>
      <c r="E50" s="21">
        <f>E133</f>
        <v>103976</v>
      </c>
      <c r="F50" s="82" t="s">
        <v>73</v>
      </c>
    </row>
    <row r="51" spans="1:6" s="20" customFormat="1" ht="20.100000000000001" customHeight="1" x14ac:dyDescent="0.25">
      <c r="A51" s="82" t="s">
        <v>74</v>
      </c>
      <c r="B51" s="21">
        <f>B158</f>
        <v>20591.599999999999</v>
      </c>
      <c r="C51" s="21">
        <f>C158</f>
        <v>0</v>
      </c>
      <c r="D51" s="21">
        <f>D158</f>
        <v>87074.85</v>
      </c>
      <c r="E51" s="21">
        <f>E158</f>
        <v>107666.45000000001</v>
      </c>
      <c r="F51" s="82" t="s">
        <v>74</v>
      </c>
    </row>
    <row r="52" spans="1:6" s="20" customFormat="1" ht="20.100000000000001" customHeight="1" x14ac:dyDescent="0.25">
      <c r="A52" s="82" t="s">
        <v>75</v>
      </c>
      <c r="B52" s="21">
        <f>B178</f>
        <v>11008.65</v>
      </c>
      <c r="C52" s="21">
        <f>C178</f>
        <v>15448.35</v>
      </c>
      <c r="D52" s="21">
        <f>D178</f>
        <v>82466</v>
      </c>
      <c r="E52" s="21">
        <f>E178</f>
        <v>108923</v>
      </c>
      <c r="F52" s="82" t="s">
        <v>75</v>
      </c>
    </row>
    <row r="53" spans="1:6" s="20" customFormat="1" ht="20.100000000000001" customHeight="1" x14ac:dyDescent="0.25">
      <c r="A53" s="82" t="s">
        <v>76</v>
      </c>
      <c r="B53" s="21">
        <f>B233</f>
        <v>19693.7</v>
      </c>
      <c r="C53" s="21">
        <f t="shared" ref="C53:E53" si="3">C233</f>
        <v>1016.1</v>
      </c>
      <c r="D53" s="21">
        <f t="shared" si="3"/>
        <v>89690.65</v>
      </c>
      <c r="E53" s="21">
        <f t="shared" si="3"/>
        <v>110400.45</v>
      </c>
      <c r="F53" s="82" t="s">
        <v>76</v>
      </c>
    </row>
    <row r="54" spans="1:6" s="20" customFormat="1" ht="20.100000000000001" hidden="1" customHeight="1" x14ac:dyDescent="0.25">
      <c r="A54" s="82" t="s">
        <v>79</v>
      </c>
      <c r="B54" s="21"/>
      <c r="C54" s="21"/>
      <c r="D54" s="21"/>
      <c r="E54" s="26"/>
      <c r="F54" s="82"/>
    </row>
    <row r="55" spans="1:6" s="20" customFormat="1" ht="20.100000000000001" hidden="1" customHeight="1" x14ac:dyDescent="0.25">
      <c r="A55" s="82" t="s">
        <v>80</v>
      </c>
      <c r="B55" s="21">
        <v>78185</v>
      </c>
      <c r="C55" s="21">
        <v>11927</v>
      </c>
      <c r="D55" s="21">
        <v>81777</v>
      </c>
      <c r="E55" s="31">
        <f>B55+C55+D55</f>
        <v>171889</v>
      </c>
      <c r="F55" s="84" t="s">
        <v>3</v>
      </c>
    </row>
    <row r="56" spans="1:6" s="20" customFormat="1" ht="20.100000000000001" hidden="1" customHeight="1" x14ac:dyDescent="0.25">
      <c r="A56" s="82" t="s">
        <v>81</v>
      </c>
      <c r="B56" s="21">
        <v>54413</v>
      </c>
      <c r="C56" s="21">
        <v>14706</v>
      </c>
      <c r="D56" s="21">
        <v>82569</v>
      </c>
      <c r="E56" s="31">
        <f>B56+C56+D56</f>
        <v>151688</v>
      </c>
      <c r="F56" s="84" t="s">
        <v>0</v>
      </c>
    </row>
    <row r="57" spans="1:6" s="20" customFormat="1" ht="20.100000000000001" hidden="1" customHeight="1" x14ac:dyDescent="0.25">
      <c r="A57" s="82" t="s">
        <v>82</v>
      </c>
      <c r="B57" s="21">
        <v>22833</v>
      </c>
      <c r="C57" s="21">
        <v>12013</v>
      </c>
      <c r="D57" s="21">
        <v>94310</v>
      </c>
      <c r="E57" s="31">
        <f>B57+C57+D57</f>
        <v>129156</v>
      </c>
      <c r="F57" s="75" t="s">
        <v>36</v>
      </c>
    </row>
    <row r="58" spans="1:6" s="20" customFormat="1" ht="20.100000000000001" hidden="1" customHeight="1" x14ac:dyDescent="0.25">
      <c r="A58" s="82" t="s">
        <v>83</v>
      </c>
      <c r="B58" s="21">
        <v>19217</v>
      </c>
      <c r="C58" s="21">
        <v>10848</v>
      </c>
      <c r="D58" s="21">
        <v>101423</v>
      </c>
      <c r="E58" s="31">
        <f>B58+C58+D58</f>
        <v>131488</v>
      </c>
      <c r="F58" s="75" t="s">
        <v>40</v>
      </c>
    </row>
    <row r="59" spans="1:6" s="20" customFormat="1" ht="20.100000000000001" hidden="1" customHeight="1" x14ac:dyDescent="0.25">
      <c r="A59" s="82" t="s">
        <v>84</v>
      </c>
      <c r="B59" s="21"/>
      <c r="C59" s="21"/>
      <c r="D59" s="21"/>
      <c r="E59" s="26"/>
      <c r="F59" s="75"/>
    </row>
    <row r="60" spans="1:6" s="20" customFormat="1" ht="20.100000000000001" hidden="1" customHeight="1" x14ac:dyDescent="0.25">
      <c r="A60" s="82" t="s">
        <v>85</v>
      </c>
      <c r="B60" s="21"/>
      <c r="C60" s="21"/>
      <c r="D60" s="21"/>
      <c r="E60" s="26"/>
      <c r="F60" s="36">
        <v>2005</v>
      </c>
    </row>
    <row r="61" spans="1:6" s="20" customFormat="1" ht="20.100000000000001" hidden="1" customHeight="1" x14ac:dyDescent="0.25">
      <c r="A61" s="82" t="s">
        <v>86</v>
      </c>
      <c r="B61" s="21">
        <v>19001</v>
      </c>
      <c r="C61" s="21">
        <v>10378</v>
      </c>
      <c r="D61" s="21">
        <v>102109</v>
      </c>
      <c r="E61" s="26">
        <v>131488</v>
      </c>
      <c r="F61" s="84" t="s">
        <v>3</v>
      </c>
    </row>
    <row r="62" spans="1:6" s="20" customFormat="1" ht="20.100000000000001" hidden="1" customHeight="1" x14ac:dyDescent="0.25">
      <c r="A62" s="82" t="s">
        <v>87</v>
      </c>
      <c r="B62" s="21">
        <v>24840</v>
      </c>
      <c r="C62" s="21">
        <v>6400</v>
      </c>
      <c r="D62" s="21">
        <v>100248</v>
      </c>
      <c r="E62" s="26">
        <v>131488</v>
      </c>
      <c r="F62" s="84" t="s">
        <v>0</v>
      </c>
    </row>
    <row r="63" spans="1:6" s="20" customFormat="1" ht="20.100000000000001" hidden="1" customHeight="1" x14ac:dyDescent="0.25">
      <c r="A63" s="82" t="s">
        <v>88</v>
      </c>
      <c r="B63" s="21">
        <v>24467</v>
      </c>
      <c r="C63" s="21">
        <v>8095</v>
      </c>
      <c r="D63" s="21">
        <v>98926</v>
      </c>
      <c r="E63" s="26">
        <f>SUM(B63+C63+D63)</f>
        <v>131488</v>
      </c>
      <c r="F63" s="75" t="s">
        <v>36</v>
      </c>
    </row>
    <row r="64" spans="1:6" s="20" customFormat="1" ht="20.100000000000001" hidden="1" customHeight="1" x14ac:dyDescent="0.25">
      <c r="A64" s="82" t="s">
        <v>89</v>
      </c>
      <c r="B64" s="21">
        <v>28161</v>
      </c>
      <c r="C64" s="21">
        <v>8415</v>
      </c>
      <c r="D64" s="21">
        <v>100942</v>
      </c>
      <c r="E64" s="26">
        <f>SUM(B64+C64+D64)</f>
        <v>137518</v>
      </c>
      <c r="F64" s="75" t="s">
        <v>40</v>
      </c>
    </row>
    <row r="65" spans="1:6" s="20" customFormat="1" ht="20.100000000000001" hidden="1" customHeight="1" x14ac:dyDescent="0.25">
      <c r="A65" s="82" t="s">
        <v>90</v>
      </c>
      <c r="B65" s="21"/>
      <c r="C65" s="21"/>
      <c r="D65" s="21"/>
      <c r="E65" s="26"/>
      <c r="F65" s="36">
        <v>2005</v>
      </c>
    </row>
    <row r="66" spans="1:6" s="20" customFormat="1" ht="20.100000000000001" hidden="1" customHeight="1" x14ac:dyDescent="0.25">
      <c r="A66" s="82" t="s">
        <v>91</v>
      </c>
      <c r="B66" s="21">
        <v>18435</v>
      </c>
      <c r="C66" s="21">
        <v>10856</v>
      </c>
      <c r="D66" s="21">
        <v>102197</v>
      </c>
      <c r="E66" s="26">
        <v>131488</v>
      </c>
      <c r="F66" s="75" t="s">
        <v>30</v>
      </c>
    </row>
    <row r="67" spans="1:6" s="20" customFormat="1" ht="20.100000000000001" hidden="1" customHeight="1" x14ac:dyDescent="0.25">
      <c r="A67" s="82" t="s">
        <v>92</v>
      </c>
      <c r="B67" s="21">
        <v>19216</v>
      </c>
      <c r="C67" s="21">
        <v>10856</v>
      </c>
      <c r="D67" s="21">
        <v>101416</v>
      </c>
      <c r="E67" s="26">
        <v>131488</v>
      </c>
      <c r="F67" s="75" t="s">
        <v>31</v>
      </c>
    </row>
    <row r="68" spans="1:6" s="20" customFormat="1" ht="20.100000000000001" hidden="1" customHeight="1" x14ac:dyDescent="0.25">
      <c r="A68" s="82" t="s">
        <v>93</v>
      </c>
      <c r="B68" s="21">
        <v>19001</v>
      </c>
      <c r="C68" s="21">
        <v>10378</v>
      </c>
      <c r="D68" s="21">
        <v>102109</v>
      </c>
      <c r="E68" s="26">
        <v>131488</v>
      </c>
      <c r="F68" s="75" t="s">
        <v>3</v>
      </c>
    </row>
    <row r="69" spans="1:6" s="20" customFormat="1" ht="20.100000000000001" hidden="1" customHeight="1" x14ac:dyDescent="0.25">
      <c r="A69" s="82" t="s">
        <v>94</v>
      </c>
      <c r="B69" s="21">
        <v>20409</v>
      </c>
      <c r="C69" s="21">
        <v>10400</v>
      </c>
      <c r="D69" s="21">
        <v>100679</v>
      </c>
      <c r="E69" s="26">
        <v>131488</v>
      </c>
      <c r="F69" s="75" t="s">
        <v>33</v>
      </c>
    </row>
    <row r="70" spans="1:6" s="20" customFormat="1" ht="20.100000000000001" hidden="1" customHeight="1" x14ac:dyDescent="0.25">
      <c r="A70" s="82" t="s">
        <v>95</v>
      </c>
      <c r="B70" s="21">
        <v>20048</v>
      </c>
      <c r="C70" s="21">
        <v>10400</v>
      </c>
      <c r="D70" s="21">
        <v>101040</v>
      </c>
      <c r="E70" s="26">
        <v>131488</v>
      </c>
      <c r="F70" s="75" t="s">
        <v>34</v>
      </c>
    </row>
    <row r="71" spans="1:6" s="20" customFormat="1" ht="20.100000000000001" hidden="1" customHeight="1" x14ac:dyDescent="0.25">
      <c r="A71" s="82" t="s">
        <v>96</v>
      </c>
      <c r="B71" s="21">
        <v>24840</v>
      </c>
      <c r="C71" s="21">
        <v>6400</v>
      </c>
      <c r="D71" s="21">
        <v>100248</v>
      </c>
      <c r="E71" s="26">
        <v>131488</v>
      </c>
      <c r="F71" s="75" t="s">
        <v>0</v>
      </c>
    </row>
    <row r="72" spans="1:6" s="20" customFormat="1" ht="20.100000000000001" hidden="1" customHeight="1" x14ac:dyDescent="0.25">
      <c r="A72" s="82" t="s">
        <v>97</v>
      </c>
      <c r="B72" s="21">
        <v>26196</v>
      </c>
      <c r="C72" s="21">
        <v>5400</v>
      </c>
      <c r="D72" s="21">
        <v>99892</v>
      </c>
      <c r="E72" s="26">
        <f t="shared" ref="E72:E77" si="4">SUM(B72+C72+D72)</f>
        <v>131488</v>
      </c>
      <c r="F72" s="75" t="s">
        <v>54</v>
      </c>
    </row>
    <row r="73" spans="1:6" s="20" customFormat="1" ht="20.100000000000001" hidden="1" customHeight="1" x14ac:dyDescent="0.25">
      <c r="A73" s="82" t="s">
        <v>98</v>
      </c>
      <c r="B73" s="21">
        <v>26434</v>
      </c>
      <c r="C73" s="21">
        <v>5010</v>
      </c>
      <c r="D73" s="21">
        <v>100044</v>
      </c>
      <c r="E73" s="26">
        <f t="shared" si="4"/>
        <v>131488</v>
      </c>
      <c r="F73" s="75" t="s">
        <v>2</v>
      </c>
    </row>
    <row r="74" spans="1:6" s="20" customFormat="1" ht="20.100000000000001" hidden="1" customHeight="1" x14ac:dyDescent="0.25">
      <c r="A74" s="82" t="s">
        <v>99</v>
      </c>
      <c r="B74" s="21">
        <v>24467</v>
      </c>
      <c r="C74" s="21">
        <v>8095</v>
      </c>
      <c r="D74" s="21">
        <v>98926</v>
      </c>
      <c r="E74" s="26">
        <f t="shared" si="4"/>
        <v>131488</v>
      </c>
      <c r="F74" s="75" t="s">
        <v>36</v>
      </c>
    </row>
    <row r="75" spans="1:6" s="20" customFormat="1" ht="20.100000000000001" hidden="1" customHeight="1" x14ac:dyDescent="0.25">
      <c r="A75" s="82" t="s">
        <v>100</v>
      </c>
      <c r="B75" s="21">
        <v>25813</v>
      </c>
      <c r="C75" s="21">
        <v>8095</v>
      </c>
      <c r="D75" s="21">
        <v>100610</v>
      </c>
      <c r="E75" s="26">
        <f t="shared" si="4"/>
        <v>134518</v>
      </c>
      <c r="F75" s="78" t="s">
        <v>38</v>
      </c>
    </row>
    <row r="76" spans="1:6" s="20" customFormat="1" ht="20.100000000000001" hidden="1" customHeight="1" x14ac:dyDescent="0.25">
      <c r="A76" s="82" t="s">
        <v>101</v>
      </c>
      <c r="B76" s="26">
        <v>30201</v>
      </c>
      <c r="C76" s="21">
        <v>8415</v>
      </c>
      <c r="D76" s="21">
        <v>98902</v>
      </c>
      <c r="E76" s="26">
        <f t="shared" si="4"/>
        <v>137518</v>
      </c>
      <c r="F76" s="78" t="s">
        <v>39</v>
      </c>
    </row>
    <row r="77" spans="1:6" s="20" customFormat="1" ht="20.100000000000001" hidden="1" customHeight="1" x14ac:dyDescent="0.25">
      <c r="A77" s="82" t="s">
        <v>102</v>
      </c>
      <c r="B77" s="21">
        <v>28161</v>
      </c>
      <c r="C77" s="21">
        <v>8415</v>
      </c>
      <c r="D77" s="21">
        <v>100942</v>
      </c>
      <c r="E77" s="26">
        <f t="shared" si="4"/>
        <v>137518</v>
      </c>
      <c r="F77" s="78" t="s">
        <v>40</v>
      </c>
    </row>
    <row r="78" spans="1:6" s="20" customFormat="1" ht="20.100000000000001" hidden="1" customHeight="1" x14ac:dyDescent="0.25">
      <c r="A78" s="82" t="s">
        <v>103</v>
      </c>
      <c r="B78" s="21"/>
      <c r="C78" s="21"/>
      <c r="D78" s="21"/>
      <c r="E78" s="26"/>
      <c r="F78" s="78"/>
    </row>
    <row r="79" spans="1:6" s="20" customFormat="1" ht="20.100000000000001" hidden="1" customHeight="1" x14ac:dyDescent="0.25">
      <c r="A79" s="82" t="s">
        <v>104</v>
      </c>
      <c r="B79" s="21"/>
      <c r="C79" s="21"/>
      <c r="D79" s="21"/>
      <c r="E79" s="26"/>
      <c r="F79" s="82" t="s">
        <v>63</v>
      </c>
    </row>
    <row r="80" spans="1:6" s="20" customFormat="1" ht="20.100000000000001" hidden="1" customHeight="1" x14ac:dyDescent="0.25">
      <c r="A80" s="82" t="s">
        <v>105</v>
      </c>
      <c r="B80" s="21">
        <v>21016</v>
      </c>
      <c r="C80" s="21">
        <v>10691</v>
      </c>
      <c r="D80" s="21">
        <v>105811</v>
      </c>
      <c r="E80" s="26">
        <f>B80+C80+D80</f>
        <v>137518</v>
      </c>
      <c r="F80" s="75" t="s">
        <v>30</v>
      </c>
    </row>
    <row r="81" spans="1:6" s="20" customFormat="1" ht="20.100000000000001" hidden="1" customHeight="1" x14ac:dyDescent="0.25">
      <c r="A81" s="82" t="s">
        <v>106</v>
      </c>
      <c r="B81" s="21">
        <v>21670</v>
      </c>
      <c r="C81" s="21">
        <v>10691</v>
      </c>
      <c r="D81" s="21">
        <v>105157</v>
      </c>
      <c r="E81" s="26">
        <f t="shared" ref="E81:E91" si="5">B81+C81+D81</f>
        <v>137518</v>
      </c>
      <c r="F81" s="75" t="s">
        <v>31</v>
      </c>
    </row>
    <row r="82" spans="1:6" s="20" customFormat="1" ht="20.100000000000001" hidden="1" customHeight="1" x14ac:dyDescent="0.25">
      <c r="A82" s="82" t="s">
        <v>107</v>
      </c>
      <c r="B82" s="21">
        <v>19942</v>
      </c>
      <c r="C82" s="21">
        <v>10130</v>
      </c>
      <c r="D82" s="21">
        <v>107446</v>
      </c>
      <c r="E82" s="26">
        <f t="shared" si="5"/>
        <v>137518</v>
      </c>
      <c r="F82" s="75" t="s">
        <v>3</v>
      </c>
    </row>
    <row r="83" spans="1:6" s="20" customFormat="1" ht="20.100000000000001" hidden="1" customHeight="1" x14ac:dyDescent="0.25">
      <c r="A83" s="82" t="s">
        <v>108</v>
      </c>
      <c r="B83" s="21">
        <v>19788</v>
      </c>
      <c r="C83" s="21">
        <v>10623</v>
      </c>
      <c r="D83" s="21">
        <v>107107</v>
      </c>
      <c r="E83" s="26">
        <f t="shared" si="5"/>
        <v>137518</v>
      </c>
      <c r="F83" s="75" t="s">
        <v>33</v>
      </c>
    </row>
    <row r="84" spans="1:6" s="20" customFormat="1" ht="20.100000000000001" hidden="1" customHeight="1" x14ac:dyDescent="0.25">
      <c r="A84" s="82" t="s">
        <v>109</v>
      </c>
      <c r="B84" s="21">
        <v>20820</v>
      </c>
      <c r="C84" s="21">
        <v>12647</v>
      </c>
      <c r="D84" s="21">
        <v>104051</v>
      </c>
      <c r="E84" s="26">
        <f t="shared" si="5"/>
        <v>137518</v>
      </c>
      <c r="F84" s="75" t="s">
        <v>34</v>
      </c>
    </row>
    <row r="85" spans="1:6" s="20" customFormat="1" ht="20.100000000000001" hidden="1" customHeight="1" x14ac:dyDescent="0.25">
      <c r="A85" s="82" t="s">
        <v>110</v>
      </c>
      <c r="B85" s="21">
        <v>17873</v>
      </c>
      <c r="C85" s="21">
        <v>13022</v>
      </c>
      <c r="D85" s="21">
        <v>106623</v>
      </c>
      <c r="E85" s="26">
        <f t="shared" si="5"/>
        <v>137518</v>
      </c>
      <c r="F85" s="75" t="s">
        <v>0</v>
      </c>
    </row>
    <row r="86" spans="1:6" s="20" customFormat="1" ht="20.100000000000001" hidden="1" customHeight="1" x14ac:dyDescent="0.25">
      <c r="A86" s="82" t="s">
        <v>111</v>
      </c>
      <c r="B86" s="21">
        <v>17521</v>
      </c>
      <c r="C86" s="21">
        <v>13022</v>
      </c>
      <c r="D86" s="21">
        <v>106975</v>
      </c>
      <c r="E86" s="26">
        <f t="shared" si="5"/>
        <v>137518</v>
      </c>
      <c r="F86" s="75" t="s">
        <v>54</v>
      </c>
    </row>
    <row r="87" spans="1:6" s="20" customFormat="1" ht="20.100000000000001" hidden="1" customHeight="1" x14ac:dyDescent="0.25">
      <c r="A87" s="82" t="s">
        <v>112</v>
      </c>
      <c r="B87" s="21">
        <v>17650</v>
      </c>
      <c r="C87" s="21">
        <v>13198</v>
      </c>
      <c r="D87" s="21">
        <v>106670</v>
      </c>
      <c r="E87" s="26">
        <f t="shared" si="5"/>
        <v>137518</v>
      </c>
      <c r="F87" s="75" t="s">
        <v>2</v>
      </c>
    </row>
    <row r="88" spans="1:6" s="20" customFormat="1" ht="20.100000000000001" hidden="1" customHeight="1" x14ac:dyDescent="0.25">
      <c r="A88" s="82" t="s">
        <v>113</v>
      </c>
      <c r="B88" s="21">
        <v>16487</v>
      </c>
      <c r="C88" s="21">
        <v>18502</v>
      </c>
      <c r="D88" s="21">
        <v>102529</v>
      </c>
      <c r="E88" s="26">
        <f t="shared" si="5"/>
        <v>137518</v>
      </c>
      <c r="F88" s="75" t="s">
        <v>36</v>
      </c>
    </row>
    <row r="89" spans="1:6" s="20" customFormat="1" ht="20.100000000000001" hidden="1" customHeight="1" x14ac:dyDescent="0.25">
      <c r="A89" s="82" t="s">
        <v>114</v>
      </c>
      <c r="B89" s="21">
        <v>13847</v>
      </c>
      <c r="C89" s="21">
        <v>26143</v>
      </c>
      <c r="D89" s="21">
        <v>97528</v>
      </c>
      <c r="E89" s="26">
        <f t="shared" si="5"/>
        <v>137518</v>
      </c>
      <c r="F89" s="78" t="s">
        <v>38</v>
      </c>
    </row>
    <row r="90" spans="1:6" s="20" customFormat="1" ht="20.100000000000001" hidden="1" customHeight="1" x14ac:dyDescent="0.25">
      <c r="A90" s="82" t="s">
        <v>115</v>
      </c>
      <c r="B90" s="21">
        <v>8765</v>
      </c>
      <c r="C90" s="21">
        <v>26077</v>
      </c>
      <c r="D90" s="21">
        <v>102676</v>
      </c>
      <c r="E90" s="26">
        <f t="shared" si="5"/>
        <v>137518</v>
      </c>
      <c r="F90" s="78" t="s">
        <v>39</v>
      </c>
    </row>
    <row r="91" spans="1:6" s="20" customFormat="1" ht="20.100000000000001" hidden="1" customHeight="1" x14ac:dyDescent="0.25">
      <c r="A91" s="82" t="s">
        <v>116</v>
      </c>
      <c r="B91" s="21">
        <v>7947</v>
      </c>
      <c r="C91" s="21">
        <v>30873</v>
      </c>
      <c r="D91" s="21">
        <v>98698</v>
      </c>
      <c r="E91" s="26">
        <f t="shared" si="5"/>
        <v>137518</v>
      </c>
      <c r="F91" s="78" t="s">
        <v>40</v>
      </c>
    </row>
    <row r="92" spans="1:6" s="20" customFormat="1" ht="20.100000000000001" hidden="1" customHeight="1" x14ac:dyDescent="0.25">
      <c r="A92" s="82" t="s">
        <v>117</v>
      </c>
      <c r="B92" s="21"/>
      <c r="C92" s="21"/>
      <c r="D92" s="21"/>
      <c r="E92" s="26"/>
      <c r="F92" s="78"/>
    </row>
    <row r="93" spans="1:6" s="20" customFormat="1" ht="20.100000000000001" hidden="1" customHeight="1" x14ac:dyDescent="0.25">
      <c r="A93" s="82" t="s">
        <v>118</v>
      </c>
      <c r="B93" s="21"/>
      <c r="C93" s="21"/>
      <c r="D93" s="21"/>
      <c r="E93" s="26"/>
      <c r="F93" s="82" t="s">
        <v>69</v>
      </c>
    </row>
    <row r="94" spans="1:6" s="20" customFormat="1" ht="20.100000000000001" hidden="1" customHeight="1" x14ac:dyDescent="0.25">
      <c r="A94" s="82" t="s">
        <v>119</v>
      </c>
      <c r="B94" s="21">
        <v>13966</v>
      </c>
      <c r="C94" s="21">
        <v>26196</v>
      </c>
      <c r="D94" s="21">
        <v>97356</v>
      </c>
      <c r="E94" s="26">
        <f t="shared" ref="E94:E105" si="6">B94+C94+D94</f>
        <v>137518</v>
      </c>
      <c r="F94" s="75" t="s">
        <v>30</v>
      </c>
    </row>
    <row r="95" spans="1:6" s="20" customFormat="1" ht="20.100000000000001" hidden="1" customHeight="1" x14ac:dyDescent="0.25">
      <c r="A95" s="82" t="s">
        <v>120</v>
      </c>
      <c r="B95" s="21">
        <v>13338</v>
      </c>
      <c r="C95" s="21">
        <v>26337</v>
      </c>
      <c r="D95" s="21">
        <v>97843</v>
      </c>
      <c r="E95" s="26">
        <f t="shared" si="6"/>
        <v>137518</v>
      </c>
      <c r="F95" s="75" t="s">
        <v>31</v>
      </c>
    </row>
    <row r="96" spans="1:6" s="20" customFormat="1" ht="20.100000000000001" hidden="1" customHeight="1" x14ac:dyDescent="0.25">
      <c r="A96" s="82" t="s">
        <v>121</v>
      </c>
      <c r="B96" s="21">
        <v>13906</v>
      </c>
      <c r="C96" s="21">
        <v>26974</v>
      </c>
      <c r="D96" s="21">
        <v>98407</v>
      </c>
      <c r="E96" s="26">
        <f t="shared" si="6"/>
        <v>139287</v>
      </c>
      <c r="F96" s="75" t="s">
        <v>3</v>
      </c>
    </row>
    <row r="97" spans="1:6" s="20" customFormat="1" ht="20.100000000000001" hidden="1" customHeight="1" x14ac:dyDescent="0.25">
      <c r="A97" s="82" t="s">
        <v>122</v>
      </c>
      <c r="B97" s="21">
        <v>12133</v>
      </c>
      <c r="C97" s="21">
        <v>26498</v>
      </c>
      <c r="D97" s="21">
        <v>102483</v>
      </c>
      <c r="E97" s="26">
        <f t="shared" si="6"/>
        <v>141114</v>
      </c>
      <c r="F97" s="75" t="s">
        <v>33</v>
      </c>
    </row>
    <row r="98" spans="1:6" s="20" customFormat="1" ht="20.100000000000001" hidden="1" customHeight="1" x14ac:dyDescent="0.25">
      <c r="A98" s="82" t="s">
        <v>123</v>
      </c>
      <c r="B98" s="21">
        <v>13786</v>
      </c>
      <c r="C98" s="21">
        <v>23900</v>
      </c>
      <c r="D98" s="21">
        <v>103428</v>
      </c>
      <c r="E98" s="26">
        <f t="shared" si="6"/>
        <v>141114</v>
      </c>
      <c r="F98" s="75" t="s">
        <v>34</v>
      </c>
    </row>
    <row r="99" spans="1:6" s="20" customFormat="1" ht="19.5" hidden="1" customHeight="1" x14ac:dyDescent="0.25">
      <c r="A99" s="82" t="s">
        <v>124</v>
      </c>
      <c r="B99" s="21">
        <v>13854</v>
      </c>
      <c r="C99" s="21">
        <v>24684</v>
      </c>
      <c r="D99" s="21">
        <v>102577</v>
      </c>
      <c r="E99" s="26">
        <f t="shared" si="6"/>
        <v>141115</v>
      </c>
      <c r="F99" s="75" t="s">
        <v>0</v>
      </c>
    </row>
    <row r="100" spans="1:6" s="20" customFormat="1" ht="19.5" hidden="1" customHeight="1" x14ac:dyDescent="0.25">
      <c r="A100" s="82" t="s">
        <v>125</v>
      </c>
      <c r="B100" s="21">
        <v>14060</v>
      </c>
      <c r="C100" s="21">
        <v>24685</v>
      </c>
      <c r="D100" s="21">
        <v>102369</v>
      </c>
      <c r="E100" s="26">
        <f t="shared" si="6"/>
        <v>141114</v>
      </c>
      <c r="F100" s="75" t="s">
        <v>1</v>
      </c>
    </row>
    <row r="101" spans="1:6" s="20" customFormat="1" ht="19.5" hidden="1" customHeight="1" x14ac:dyDescent="0.25">
      <c r="A101" s="82" t="s">
        <v>126</v>
      </c>
      <c r="B101" s="21">
        <v>23280</v>
      </c>
      <c r="C101" s="21">
        <v>14571</v>
      </c>
      <c r="D101" s="21">
        <v>103263</v>
      </c>
      <c r="E101" s="26">
        <f t="shared" si="6"/>
        <v>141114</v>
      </c>
      <c r="F101" s="75" t="s">
        <v>2</v>
      </c>
    </row>
    <row r="102" spans="1:6" s="20" customFormat="1" ht="19.5" hidden="1" customHeight="1" x14ac:dyDescent="0.25">
      <c r="A102" s="82" t="s">
        <v>127</v>
      </c>
      <c r="B102" s="21">
        <v>24533</v>
      </c>
      <c r="C102" s="21">
        <v>13898</v>
      </c>
      <c r="D102" s="21">
        <v>102683</v>
      </c>
      <c r="E102" s="26">
        <f t="shared" si="6"/>
        <v>141114</v>
      </c>
      <c r="F102" s="75" t="s">
        <v>36</v>
      </c>
    </row>
    <row r="103" spans="1:6" s="20" customFormat="1" ht="19.5" hidden="1" customHeight="1" x14ac:dyDescent="0.25">
      <c r="A103" s="82" t="s">
        <v>128</v>
      </c>
      <c r="B103" s="21">
        <v>26770</v>
      </c>
      <c r="C103" s="21">
        <v>11697</v>
      </c>
      <c r="D103" s="21">
        <v>102647</v>
      </c>
      <c r="E103" s="26">
        <f t="shared" si="6"/>
        <v>141114</v>
      </c>
      <c r="F103" s="75" t="s">
        <v>38</v>
      </c>
    </row>
    <row r="104" spans="1:6" s="20" customFormat="1" ht="19.5" hidden="1" customHeight="1" x14ac:dyDescent="0.25">
      <c r="A104" s="82" t="s">
        <v>129</v>
      </c>
      <c r="B104" s="21">
        <v>27139</v>
      </c>
      <c r="C104" s="21">
        <v>10436</v>
      </c>
      <c r="D104" s="21">
        <v>103539</v>
      </c>
      <c r="E104" s="26">
        <f t="shared" si="6"/>
        <v>141114</v>
      </c>
      <c r="F104" s="75" t="s">
        <v>39</v>
      </c>
    </row>
    <row r="105" spans="1:6" s="20" customFormat="1" ht="19.5" hidden="1" customHeight="1" x14ac:dyDescent="0.25">
      <c r="A105" s="82" t="s">
        <v>130</v>
      </c>
      <c r="B105" s="21">
        <v>29126</v>
      </c>
      <c r="C105" s="21">
        <v>11323</v>
      </c>
      <c r="D105" s="21">
        <v>100665</v>
      </c>
      <c r="E105" s="26">
        <f t="shared" si="6"/>
        <v>141114</v>
      </c>
      <c r="F105" s="78" t="s">
        <v>40</v>
      </c>
    </row>
    <row r="106" spans="1:6" s="20" customFormat="1" ht="19.5" hidden="1" customHeight="1" x14ac:dyDescent="0.25">
      <c r="A106" s="82" t="s">
        <v>131</v>
      </c>
      <c r="B106" s="21"/>
      <c r="C106" s="21"/>
      <c r="D106" s="21"/>
      <c r="E106" s="26"/>
      <c r="F106" s="78"/>
    </row>
    <row r="107" spans="1:6" s="20" customFormat="1" ht="19.5" hidden="1" customHeight="1" x14ac:dyDescent="0.25">
      <c r="A107" s="82" t="s">
        <v>132</v>
      </c>
      <c r="B107" s="21"/>
      <c r="C107" s="21"/>
      <c r="D107" s="21"/>
      <c r="E107" s="26"/>
      <c r="F107" s="43" t="s">
        <v>71</v>
      </c>
    </row>
    <row r="108" spans="1:6" s="20" customFormat="1" ht="19.5" hidden="1" customHeight="1" x14ac:dyDescent="0.25">
      <c r="A108" s="82" t="s">
        <v>133</v>
      </c>
      <c r="B108" s="21">
        <v>30064</v>
      </c>
      <c r="C108" s="21">
        <v>11289</v>
      </c>
      <c r="D108" s="21">
        <v>96990</v>
      </c>
      <c r="E108" s="26">
        <f t="shared" ref="E108:E119" si="7">B108+C108+D108</f>
        <v>138343</v>
      </c>
      <c r="F108" s="75" t="s">
        <v>30</v>
      </c>
    </row>
    <row r="109" spans="1:6" s="20" customFormat="1" ht="19.5" hidden="1" customHeight="1" x14ac:dyDescent="0.25">
      <c r="A109" s="82" t="s">
        <v>134</v>
      </c>
      <c r="B109" s="21">
        <v>28265</v>
      </c>
      <c r="C109" s="21">
        <v>11149</v>
      </c>
      <c r="D109" s="21">
        <v>96929</v>
      </c>
      <c r="E109" s="26">
        <f t="shared" si="7"/>
        <v>136343</v>
      </c>
      <c r="F109" s="75" t="s">
        <v>31</v>
      </c>
    </row>
    <row r="110" spans="1:6" s="20" customFormat="1" ht="19.5" hidden="1" customHeight="1" x14ac:dyDescent="0.25">
      <c r="A110" s="82" t="s">
        <v>135</v>
      </c>
      <c r="B110" s="21">
        <v>27360</v>
      </c>
      <c r="C110" s="21">
        <v>10464</v>
      </c>
      <c r="D110" s="21">
        <v>96519</v>
      </c>
      <c r="E110" s="26">
        <f t="shared" si="7"/>
        <v>134343</v>
      </c>
      <c r="F110" s="75" t="s">
        <v>3</v>
      </c>
    </row>
    <row r="111" spans="1:6" s="20" customFormat="1" ht="19.5" hidden="1" customHeight="1" x14ac:dyDescent="0.25">
      <c r="A111" s="82" t="s">
        <v>136</v>
      </c>
      <c r="B111" s="21">
        <v>25922</v>
      </c>
      <c r="C111" s="21">
        <v>10425</v>
      </c>
      <c r="D111" s="21">
        <v>96696</v>
      </c>
      <c r="E111" s="26">
        <f t="shared" si="7"/>
        <v>133043</v>
      </c>
      <c r="F111" s="75" t="s">
        <v>33</v>
      </c>
    </row>
    <row r="112" spans="1:6" s="20" customFormat="1" ht="19.5" hidden="1" customHeight="1" x14ac:dyDescent="0.25">
      <c r="A112" s="82" t="s">
        <v>137</v>
      </c>
      <c r="B112" s="21">
        <v>26163</v>
      </c>
      <c r="C112" s="21">
        <v>10425</v>
      </c>
      <c r="D112" s="21">
        <v>96455</v>
      </c>
      <c r="E112" s="26">
        <f t="shared" si="7"/>
        <v>133043</v>
      </c>
      <c r="F112" s="75" t="s">
        <v>34</v>
      </c>
    </row>
    <row r="113" spans="1:6" s="20" customFormat="1" ht="19.5" hidden="1" customHeight="1" x14ac:dyDescent="0.25">
      <c r="A113" s="82" t="s">
        <v>138</v>
      </c>
      <c r="B113" s="21">
        <v>25659</v>
      </c>
      <c r="C113" s="21">
        <v>10070</v>
      </c>
      <c r="D113" s="21">
        <v>95814</v>
      </c>
      <c r="E113" s="26">
        <f t="shared" si="7"/>
        <v>131543</v>
      </c>
      <c r="F113" s="75" t="s">
        <v>0</v>
      </c>
    </row>
    <row r="114" spans="1:6" s="20" customFormat="1" ht="19.5" hidden="1" customHeight="1" x14ac:dyDescent="0.25">
      <c r="A114" s="82" t="s">
        <v>139</v>
      </c>
      <c r="B114" s="21">
        <v>23567</v>
      </c>
      <c r="C114" s="21">
        <v>10069</v>
      </c>
      <c r="D114" s="21">
        <v>94407</v>
      </c>
      <c r="E114" s="26">
        <f t="shared" si="7"/>
        <v>128043</v>
      </c>
      <c r="F114" s="75" t="s">
        <v>1</v>
      </c>
    </row>
    <row r="115" spans="1:6" s="20" customFormat="1" ht="19.5" hidden="1" customHeight="1" x14ac:dyDescent="0.25">
      <c r="A115" s="82" t="s">
        <v>140</v>
      </c>
      <c r="B115" s="21">
        <v>21958</v>
      </c>
      <c r="C115" s="21">
        <v>7643</v>
      </c>
      <c r="D115" s="21">
        <v>98442</v>
      </c>
      <c r="E115" s="26">
        <f t="shared" si="7"/>
        <v>128043</v>
      </c>
      <c r="F115" s="75" t="s">
        <v>2</v>
      </c>
    </row>
    <row r="116" spans="1:6" s="20" customFormat="1" ht="19.5" hidden="1" customHeight="1" x14ac:dyDescent="0.25">
      <c r="A116" s="82" t="s">
        <v>141</v>
      </c>
      <c r="B116" s="21">
        <v>25443</v>
      </c>
      <c r="C116" s="21">
        <v>7643</v>
      </c>
      <c r="D116" s="21">
        <v>94957</v>
      </c>
      <c r="E116" s="26">
        <f t="shared" si="7"/>
        <v>128043</v>
      </c>
      <c r="F116" s="75" t="s">
        <v>36</v>
      </c>
    </row>
    <row r="117" spans="1:6" s="20" customFormat="1" ht="19.5" hidden="1" customHeight="1" x14ac:dyDescent="0.25">
      <c r="A117" s="82" t="s">
        <v>142</v>
      </c>
      <c r="B117" s="21">
        <v>24980</v>
      </c>
      <c r="C117" s="21">
        <v>7640</v>
      </c>
      <c r="D117" s="21">
        <v>95423</v>
      </c>
      <c r="E117" s="26">
        <f t="shared" si="7"/>
        <v>128043</v>
      </c>
      <c r="F117" s="75" t="s">
        <v>38</v>
      </c>
    </row>
    <row r="118" spans="1:6" s="20" customFormat="1" ht="19.5" hidden="1" customHeight="1" x14ac:dyDescent="0.25">
      <c r="A118" s="82" t="s">
        <v>143</v>
      </c>
      <c r="B118" s="21">
        <v>24564.5</v>
      </c>
      <c r="C118" s="21">
        <v>5933.05</v>
      </c>
      <c r="D118" s="21">
        <v>89849.9</v>
      </c>
      <c r="E118" s="26">
        <f t="shared" si="7"/>
        <v>120347.45</v>
      </c>
      <c r="F118" s="75" t="s">
        <v>39</v>
      </c>
    </row>
    <row r="119" spans="1:6" s="20" customFormat="1" ht="19.5" hidden="1" customHeight="1" thickBot="1" x14ac:dyDescent="0.3">
      <c r="A119" s="82" t="s">
        <v>144</v>
      </c>
      <c r="B119" s="50">
        <v>24466.25</v>
      </c>
      <c r="C119" s="50">
        <v>0</v>
      </c>
      <c r="D119" s="50">
        <v>85817.45</v>
      </c>
      <c r="E119" s="49">
        <f t="shared" si="7"/>
        <v>110283.7</v>
      </c>
      <c r="F119" s="87" t="s">
        <v>40</v>
      </c>
    </row>
    <row r="120" spans="1:6" s="20" customFormat="1" ht="19.5" hidden="1" customHeight="1" x14ac:dyDescent="0.25">
      <c r="A120" s="82" t="s">
        <v>145</v>
      </c>
      <c r="B120" s="30"/>
      <c r="C120" s="30"/>
      <c r="D120" s="30"/>
      <c r="E120" s="30"/>
      <c r="F120" s="82"/>
    </row>
    <row r="121" spans="1:6" s="20" customFormat="1" ht="19.5" hidden="1" customHeight="1" x14ac:dyDescent="0.25">
      <c r="A121" s="82" t="s">
        <v>146</v>
      </c>
      <c r="B121" s="30"/>
      <c r="C121" s="30"/>
      <c r="D121" s="30"/>
      <c r="E121" s="31"/>
      <c r="F121" s="43">
        <v>2009</v>
      </c>
    </row>
    <row r="122" spans="1:6" s="20" customFormat="1" ht="19.5" hidden="1" customHeight="1" x14ac:dyDescent="0.25">
      <c r="A122" s="82" t="s">
        <v>147</v>
      </c>
      <c r="B122" s="30">
        <v>20465.849999999999</v>
      </c>
      <c r="C122" s="30">
        <v>0</v>
      </c>
      <c r="D122" s="30">
        <v>87437.85</v>
      </c>
      <c r="E122" s="26">
        <f t="shared" ref="E122:E133" si="8">B122+C122+D122</f>
        <v>107903.70000000001</v>
      </c>
      <c r="F122" s="75" t="s">
        <v>30</v>
      </c>
    </row>
    <row r="123" spans="1:6" s="20" customFormat="1" ht="19.5" hidden="1" customHeight="1" x14ac:dyDescent="0.25">
      <c r="A123" s="82" t="s">
        <v>148</v>
      </c>
      <c r="B123" s="30">
        <v>21344.75</v>
      </c>
      <c r="C123" s="30">
        <v>0</v>
      </c>
      <c r="D123" s="30">
        <v>83066.7</v>
      </c>
      <c r="E123" s="26">
        <f t="shared" si="8"/>
        <v>104411.45</v>
      </c>
      <c r="F123" s="75" t="s">
        <v>31</v>
      </c>
    </row>
    <row r="124" spans="1:6" s="20" customFormat="1" ht="19.5" hidden="1" customHeight="1" x14ac:dyDescent="0.25">
      <c r="A124" s="82" t="s">
        <v>149</v>
      </c>
      <c r="B124" s="30">
        <v>21408.75</v>
      </c>
      <c r="C124" s="30">
        <v>0</v>
      </c>
      <c r="D124" s="30">
        <v>82567.649999999994</v>
      </c>
      <c r="E124" s="26">
        <f t="shared" si="8"/>
        <v>103976.4</v>
      </c>
      <c r="F124" s="75" t="s">
        <v>3</v>
      </c>
    </row>
    <row r="125" spans="1:6" s="20" customFormat="1" ht="19.5" hidden="1" customHeight="1" x14ac:dyDescent="0.25">
      <c r="A125" s="82" t="s">
        <v>150</v>
      </c>
      <c r="B125" s="30">
        <v>21819.75</v>
      </c>
      <c r="C125" s="30">
        <v>0</v>
      </c>
      <c r="D125" s="30">
        <v>82156.649999999994</v>
      </c>
      <c r="E125" s="26">
        <f t="shared" si="8"/>
        <v>103976.4</v>
      </c>
      <c r="F125" s="75" t="s">
        <v>33</v>
      </c>
    </row>
    <row r="126" spans="1:6" s="20" customFormat="1" ht="19.5" hidden="1" customHeight="1" x14ac:dyDescent="0.25">
      <c r="A126" s="82" t="s">
        <v>151</v>
      </c>
      <c r="B126" s="30">
        <v>22069.25</v>
      </c>
      <c r="C126" s="30">
        <v>0</v>
      </c>
      <c r="D126" s="25">
        <v>81907.149999999994</v>
      </c>
      <c r="E126" s="26">
        <f t="shared" si="8"/>
        <v>103976.4</v>
      </c>
      <c r="F126" s="75" t="s">
        <v>34</v>
      </c>
    </row>
    <row r="127" spans="1:6" s="20" customFormat="1" ht="19.5" hidden="1" customHeight="1" x14ac:dyDescent="0.25">
      <c r="A127" s="82" t="s">
        <v>152</v>
      </c>
      <c r="B127" s="30">
        <v>23870.15</v>
      </c>
      <c r="C127" s="30">
        <v>0</v>
      </c>
      <c r="D127" s="30">
        <v>80106.25</v>
      </c>
      <c r="E127" s="26">
        <f t="shared" si="8"/>
        <v>103976.4</v>
      </c>
      <c r="F127" s="75" t="s">
        <v>0</v>
      </c>
    </row>
    <row r="128" spans="1:6" s="20" customFormat="1" ht="19.5" hidden="1" customHeight="1" x14ac:dyDescent="0.25">
      <c r="A128" s="82" t="s">
        <v>153</v>
      </c>
      <c r="B128" s="30">
        <v>25318</v>
      </c>
      <c r="C128" s="30">
        <v>0</v>
      </c>
      <c r="D128" s="30">
        <v>78657</v>
      </c>
      <c r="E128" s="26">
        <f t="shared" si="8"/>
        <v>103975</v>
      </c>
      <c r="F128" s="75" t="s">
        <v>1</v>
      </c>
    </row>
    <row r="129" spans="1:6" s="20" customFormat="1" ht="19.5" hidden="1" customHeight="1" x14ac:dyDescent="0.25">
      <c r="A129" s="82" t="s">
        <v>154</v>
      </c>
      <c r="B129" s="30">
        <v>23355</v>
      </c>
      <c r="C129" s="30">
        <v>3</v>
      </c>
      <c r="D129" s="30">
        <v>80617</v>
      </c>
      <c r="E129" s="26">
        <f t="shared" si="8"/>
        <v>103975</v>
      </c>
      <c r="F129" s="75" t="s">
        <v>2</v>
      </c>
    </row>
    <row r="130" spans="1:6" s="20" customFormat="1" ht="19.5" hidden="1" customHeight="1" x14ac:dyDescent="0.25">
      <c r="A130" s="82" t="s">
        <v>155</v>
      </c>
      <c r="B130" s="30">
        <v>23926</v>
      </c>
      <c r="C130" s="30">
        <v>3</v>
      </c>
      <c r="D130" s="30">
        <v>80046</v>
      </c>
      <c r="E130" s="26">
        <f t="shared" si="8"/>
        <v>103975</v>
      </c>
      <c r="F130" s="75" t="s">
        <v>36</v>
      </c>
    </row>
    <row r="131" spans="1:6" s="20" customFormat="1" ht="19.5" hidden="1" customHeight="1" x14ac:dyDescent="0.25">
      <c r="A131" s="82" t="s">
        <v>156</v>
      </c>
      <c r="B131" s="30">
        <v>24873</v>
      </c>
      <c r="C131" s="30">
        <v>3</v>
      </c>
      <c r="D131" s="30">
        <v>79100</v>
      </c>
      <c r="E131" s="26">
        <f t="shared" si="8"/>
        <v>103976</v>
      </c>
      <c r="F131" s="75" t="s">
        <v>38</v>
      </c>
    </row>
    <row r="132" spans="1:6" s="20" customFormat="1" ht="19.5" hidden="1" customHeight="1" x14ac:dyDescent="0.25">
      <c r="A132" s="82" t="s">
        <v>157</v>
      </c>
      <c r="B132" s="30">
        <v>26292</v>
      </c>
      <c r="C132" s="30">
        <v>0</v>
      </c>
      <c r="D132" s="30">
        <v>77684</v>
      </c>
      <c r="E132" s="26">
        <f t="shared" si="8"/>
        <v>103976</v>
      </c>
      <c r="F132" s="75" t="s">
        <v>39</v>
      </c>
    </row>
    <row r="133" spans="1:6" s="20" customFormat="1" ht="19.5" hidden="1" customHeight="1" x14ac:dyDescent="0.25">
      <c r="A133" s="82" t="s">
        <v>158</v>
      </c>
      <c r="B133" s="30">
        <v>24666</v>
      </c>
      <c r="C133" s="30">
        <v>0</v>
      </c>
      <c r="D133" s="30">
        <v>79310</v>
      </c>
      <c r="E133" s="26">
        <f t="shared" si="8"/>
        <v>103976</v>
      </c>
      <c r="F133" s="75" t="s">
        <v>40</v>
      </c>
    </row>
    <row r="134" spans="1:6" s="20" customFormat="1" ht="19.5" hidden="1" customHeight="1" x14ac:dyDescent="0.25">
      <c r="A134" s="82" t="s">
        <v>159</v>
      </c>
      <c r="B134" s="30"/>
      <c r="C134" s="30"/>
      <c r="D134" s="30"/>
      <c r="E134" s="26"/>
      <c r="F134" s="36">
        <v>2008</v>
      </c>
    </row>
    <row r="135" spans="1:6" s="20" customFormat="1" ht="19.5" hidden="1" customHeight="1" x14ac:dyDescent="0.25">
      <c r="A135" s="82" t="s">
        <v>160</v>
      </c>
      <c r="B135" s="30">
        <f>B110</f>
        <v>27360</v>
      </c>
      <c r="C135" s="30">
        <f>C110</f>
        <v>10464</v>
      </c>
      <c r="D135" s="30">
        <f>D110</f>
        <v>96519</v>
      </c>
      <c r="E135" s="30">
        <f>E110</f>
        <v>134343</v>
      </c>
      <c r="F135" s="36" t="s">
        <v>32</v>
      </c>
    </row>
    <row r="136" spans="1:6" s="20" customFormat="1" ht="19.5" hidden="1" customHeight="1" x14ac:dyDescent="0.25">
      <c r="A136" s="82" t="s">
        <v>161</v>
      </c>
      <c r="B136" s="30">
        <f>B113</f>
        <v>25659</v>
      </c>
      <c r="C136" s="30">
        <f>C113</f>
        <v>10070</v>
      </c>
      <c r="D136" s="30">
        <f>D113</f>
        <v>95814</v>
      </c>
      <c r="E136" s="30">
        <f>E113</f>
        <v>131543</v>
      </c>
      <c r="F136" s="36" t="s">
        <v>35</v>
      </c>
    </row>
    <row r="137" spans="1:6" s="20" customFormat="1" ht="19.5" hidden="1" customHeight="1" x14ac:dyDescent="0.25">
      <c r="A137" s="82" t="s">
        <v>162</v>
      </c>
      <c r="B137" s="30">
        <f>B116</f>
        <v>25443</v>
      </c>
      <c r="C137" s="30">
        <f>C116</f>
        <v>7643</v>
      </c>
      <c r="D137" s="30">
        <f>D116</f>
        <v>94957</v>
      </c>
      <c r="E137" s="30">
        <f>E116</f>
        <v>128043</v>
      </c>
      <c r="F137" s="36" t="s">
        <v>37</v>
      </c>
    </row>
    <row r="138" spans="1:6" s="20" customFormat="1" ht="19.5" hidden="1" customHeight="1" x14ac:dyDescent="0.25">
      <c r="A138" s="82" t="s">
        <v>163</v>
      </c>
      <c r="B138" s="30">
        <f>B119</f>
        <v>24466.25</v>
      </c>
      <c r="C138" s="30">
        <f>C119</f>
        <v>0</v>
      </c>
      <c r="D138" s="30">
        <f>D119</f>
        <v>85817.45</v>
      </c>
      <c r="E138" s="30">
        <f>E119</f>
        <v>110283.7</v>
      </c>
      <c r="F138" s="36" t="s">
        <v>41</v>
      </c>
    </row>
    <row r="139" spans="1:6" s="20" customFormat="1" ht="19.5" hidden="1" customHeight="1" x14ac:dyDescent="0.25">
      <c r="A139" s="82" t="s">
        <v>164</v>
      </c>
      <c r="B139" s="30"/>
      <c r="C139" s="30"/>
      <c r="D139" s="30"/>
      <c r="E139" s="26"/>
      <c r="F139" s="75"/>
    </row>
    <row r="140" spans="1:6" s="20" customFormat="1" ht="19.5" hidden="1" customHeight="1" x14ac:dyDescent="0.25">
      <c r="A140" s="82" t="s">
        <v>165</v>
      </c>
      <c r="B140" s="30"/>
      <c r="C140" s="30"/>
      <c r="D140" s="30"/>
      <c r="E140" s="26"/>
      <c r="F140" s="36">
        <v>2009</v>
      </c>
    </row>
    <row r="141" spans="1:6" s="20" customFormat="1" ht="19.5" hidden="1" customHeight="1" x14ac:dyDescent="0.25">
      <c r="A141" s="82" t="s">
        <v>166</v>
      </c>
      <c r="B141" s="30">
        <f>B124</f>
        <v>21408.75</v>
      </c>
      <c r="C141" s="30">
        <f>C124</f>
        <v>0</v>
      </c>
      <c r="D141" s="30">
        <f>D124</f>
        <v>82567.649999999994</v>
      </c>
      <c r="E141" s="30">
        <f>E124</f>
        <v>103976.4</v>
      </c>
      <c r="F141" s="36" t="s">
        <v>32</v>
      </c>
    </row>
    <row r="142" spans="1:6" s="20" customFormat="1" ht="19.5" hidden="1" customHeight="1" x14ac:dyDescent="0.25">
      <c r="A142" s="82" t="s">
        <v>167</v>
      </c>
      <c r="B142" s="30">
        <f>B127</f>
        <v>23870.15</v>
      </c>
      <c r="C142" s="30">
        <f>C127</f>
        <v>0</v>
      </c>
      <c r="D142" s="30">
        <f>D127</f>
        <v>80106.25</v>
      </c>
      <c r="E142" s="30">
        <f>E127</f>
        <v>103976.4</v>
      </c>
      <c r="F142" s="36" t="s">
        <v>35</v>
      </c>
    </row>
    <row r="143" spans="1:6" s="20" customFormat="1" ht="19.5" hidden="1" customHeight="1" x14ac:dyDescent="0.25">
      <c r="A143" s="82" t="s">
        <v>168</v>
      </c>
      <c r="B143" s="30">
        <f>B130</f>
        <v>23926</v>
      </c>
      <c r="C143" s="30">
        <f>C130</f>
        <v>3</v>
      </c>
      <c r="D143" s="30">
        <f>D130</f>
        <v>80046</v>
      </c>
      <c r="E143" s="30">
        <f>E130</f>
        <v>103975</v>
      </c>
      <c r="F143" s="36" t="s">
        <v>37</v>
      </c>
    </row>
    <row r="144" spans="1:6" s="20" customFormat="1" ht="19.5" hidden="1" customHeight="1" x14ac:dyDescent="0.25">
      <c r="A144" s="82" t="s">
        <v>169</v>
      </c>
      <c r="B144" s="30">
        <f>B133</f>
        <v>24666</v>
      </c>
      <c r="C144" s="30">
        <f>C133</f>
        <v>0</v>
      </c>
      <c r="D144" s="30">
        <f>D133</f>
        <v>79310</v>
      </c>
      <c r="E144" s="30">
        <f>E133</f>
        <v>103976</v>
      </c>
      <c r="F144" s="36" t="s">
        <v>41</v>
      </c>
    </row>
    <row r="145" spans="1:6" s="20" customFormat="1" ht="19.5" hidden="1" customHeight="1" x14ac:dyDescent="0.25">
      <c r="A145" s="82" t="s">
        <v>170</v>
      </c>
      <c r="B145" s="30"/>
      <c r="C145" s="30"/>
      <c r="D145" s="30"/>
      <c r="E145" s="26"/>
      <c r="F145" s="82"/>
    </row>
    <row r="146" spans="1:6" s="20" customFormat="1" ht="19.5" hidden="1" customHeight="1" x14ac:dyDescent="0.25">
      <c r="A146" s="82" t="s">
        <v>171</v>
      </c>
      <c r="B146" s="30"/>
      <c r="C146" s="30"/>
      <c r="D146" s="30"/>
      <c r="E146" s="26"/>
      <c r="F146" s="76">
        <v>2010</v>
      </c>
    </row>
    <row r="147" spans="1:6" s="20" customFormat="1" ht="19.5" hidden="1" customHeight="1" x14ac:dyDescent="0.25">
      <c r="A147" s="82" t="s">
        <v>172</v>
      </c>
      <c r="B147" s="30">
        <v>22533.55</v>
      </c>
      <c r="C147" s="30">
        <v>0</v>
      </c>
      <c r="D147" s="30">
        <v>103976.4</v>
      </c>
      <c r="E147" s="26">
        <f t="shared" ref="E147:E158" si="9">B147+C147+D147</f>
        <v>126509.95</v>
      </c>
      <c r="F147" s="78" t="s">
        <v>30</v>
      </c>
    </row>
    <row r="148" spans="1:6" s="20" customFormat="1" ht="19.5" hidden="1" customHeight="1" x14ac:dyDescent="0.25">
      <c r="A148" s="82" t="s">
        <v>173</v>
      </c>
      <c r="B148" s="30">
        <v>22576</v>
      </c>
      <c r="C148" s="30">
        <v>0</v>
      </c>
      <c r="D148" s="30">
        <v>103976.4</v>
      </c>
      <c r="E148" s="26">
        <f t="shared" si="9"/>
        <v>126552.4</v>
      </c>
      <c r="F148" s="78" t="s">
        <v>31</v>
      </c>
    </row>
    <row r="149" spans="1:6" s="20" customFormat="1" ht="19.5" hidden="1" customHeight="1" x14ac:dyDescent="0.25">
      <c r="A149" s="82" t="s">
        <v>174</v>
      </c>
      <c r="B149" s="30">
        <v>22483.85</v>
      </c>
      <c r="C149" s="30">
        <v>0</v>
      </c>
      <c r="D149" s="30">
        <v>103976.4</v>
      </c>
      <c r="E149" s="26">
        <f t="shared" si="9"/>
        <v>126460.25</v>
      </c>
      <c r="F149" s="78" t="s">
        <v>3</v>
      </c>
    </row>
    <row r="150" spans="1:6" s="20" customFormat="1" ht="19.5" hidden="1" customHeight="1" x14ac:dyDescent="0.25">
      <c r="A150" s="82" t="s">
        <v>175</v>
      </c>
      <c r="B150" s="30">
        <v>22839.55</v>
      </c>
      <c r="C150" s="30">
        <v>0</v>
      </c>
      <c r="D150" s="30">
        <v>81136.399999999994</v>
      </c>
      <c r="E150" s="26">
        <f t="shared" si="9"/>
        <v>103975.95</v>
      </c>
      <c r="F150" s="78" t="s">
        <v>33</v>
      </c>
    </row>
    <row r="151" spans="1:6" s="20" customFormat="1" ht="19.5" hidden="1" customHeight="1" x14ac:dyDescent="0.25">
      <c r="A151" s="82" t="s">
        <v>176</v>
      </c>
      <c r="B151" s="30">
        <v>22532.15</v>
      </c>
      <c r="C151" s="30">
        <v>0</v>
      </c>
      <c r="D151" s="30">
        <v>81444.25</v>
      </c>
      <c r="E151" s="26">
        <f t="shared" si="9"/>
        <v>103976.4</v>
      </c>
      <c r="F151" s="78" t="s">
        <v>34</v>
      </c>
    </row>
    <row r="152" spans="1:6" s="20" customFormat="1" ht="19.5" hidden="1" customHeight="1" x14ac:dyDescent="0.25">
      <c r="A152" s="82" t="s">
        <v>177</v>
      </c>
      <c r="B152" s="30">
        <v>20782.349999999999</v>
      </c>
      <c r="C152" s="30">
        <v>0</v>
      </c>
      <c r="D152" s="30">
        <v>83843.95</v>
      </c>
      <c r="E152" s="26">
        <f t="shared" si="9"/>
        <v>104626.29999999999</v>
      </c>
      <c r="F152" s="78" t="s">
        <v>0</v>
      </c>
    </row>
    <row r="153" spans="1:6" s="20" customFormat="1" ht="19.5" hidden="1" customHeight="1" x14ac:dyDescent="0.25">
      <c r="A153" s="82" t="s">
        <v>178</v>
      </c>
      <c r="B153" s="30">
        <v>21027.35</v>
      </c>
      <c r="C153" s="30">
        <v>0</v>
      </c>
      <c r="D153" s="30">
        <v>83598.95</v>
      </c>
      <c r="E153" s="26">
        <f t="shared" si="9"/>
        <v>104626.29999999999</v>
      </c>
      <c r="F153" s="75" t="s">
        <v>1</v>
      </c>
    </row>
    <row r="154" spans="1:6" s="20" customFormat="1" ht="19.5" hidden="1" customHeight="1" x14ac:dyDescent="0.25">
      <c r="A154" s="82" t="s">
        <v>179</v>
      </c>
      <c r="B154" s="30">
        <v>23166.05</v>
      </c>
      <c r="C154" s="30">
        <v>0</v>
      </c>
      <c r="D154" s="30">
        <v>81460.25</v>
      </c>
      <c r="E154" s="26">
        <f t="shared" si="9"/>
        <v>104626.3</v>
      </c>
      <c r="F154" s="75" t="s">
        <v>2</v>
      </c>
    </row>
    <row r="155" spans="1:6" s="20" customFormat="1" ht="19.5" hidden="1" customHeight="1" x14ac:dyDescent="0.25">
      <c r="A155" s="82" t="s">
        <v>180</v>
      </c>
      <c r="B155" s="30">
        <v>21797.8</v>
      </c>
      <c r="C155" s="30">
        <v>0</v>
      </c>
      <c r="D155" s="30">
        <v>82828.5</v>
      </c>
      <c r="E155" s="26">
        <f t="shared" si="9"/>
        <v>104626.3</v>
      </c>
      <c r="F155" s="75" t="s">
        <v>36</v>
      </c>
    </row>
    <row r="156" spans="1:6" s="20" customFormat="1" ht="19.5" hidden="1" customHeight="1" x14ac:dyDescent="0.25">
      <c r="A156" s="82" t="s">
        <v>181</v>
      </c>
      <c r="B156" s="30">
        <v>20921.099999999999</v>
      </c>
      <c r="C156" s="30">
        <v>0</v>
      </c>
      <c r="D156" s="30">
        <v>83705.2</v>
      </c>
      <c r="E156" s="26">
        <f t="shared" si="9"/>
        <v>104626.29999999999</v>
      </c>
      <c r="F156" s="75" t="s">
        <v>38</v>
      </c>
    </row>
    <row r="157" spans="1:6" s="20" customFormat="1" ht="19.5" hidden="1" customHeight="1" x14ac:dyDescent="0.25">
      <c r="A157" s="82" t="s">
        <v>182</v>
      </c>
      <c r="B157" s="30">
        <v>20900.599999999999</v>
      </c>
      <c r="C157" s="30">
        <v>0</v>
      </c>
      <c r="D157" s="30">
        <v>83725.7</v>
      </c>
      <c r="E157" s="26">
        <f t="shared" si="9"/>
        <v>104626.29999999999</v>
      </c>
      <c r="F157" s="75" t="s">
        <v>39</v>
      </c>
    </row>
    <row r="158" spans="1:6" s="20" customFormat="1" ht="19.5" hidden="1" customHeight="1" x14ac:dyDescent="0.25">
      <c r="A158" s="82" t="s">
        <v>183</v>
      </c>
      <c r="B158" s="30">
        <v>20591.599999999999</v>
      </c>
      <c r="C158" s="30">
        <v>0</v>
      </c>
      <c r="D158" s="30">
        <v>87074.85</v>
      </c>
      <c r="E158" s="26">
        <f t="shared" si="9"/>
        <v>107666.45000000001</v>
      </c>
      <c r="F158" s="75" t="s">
        <v>40</v>
      </c>
    </row>
    <row r="159" spans="1:6" s="20" customFormat="1" ht="19.5" hidden="1" customHeight="1" x14ac:dyDescent="0.25">
      <c r="A159" s="82" t="s">
        <v>184</v>
      </c>
      <c r="B159" s="30"/>
      <c r="C159" s="30"/>
      <c r="D159" s="30"/>
      <c r="E159" s="26"/>
      <c r="F159" s="82"/>
    </row>
    <row r="160" spans="1:6" s="20" customFormat="1" ht="19.5" hidden="1" customHeight="1" x14ac:dyDescent="0.25">
      <c r="A160" s="82" t="s">
        <v>185</v>
      </c>
      <c r="B160" s="30"/>
      <c r="C160" s="30"/>
      <c r="D160" s="30"/>
      <c r="E160" s="26"/>
      <c r="F160" s="36">
        <v>2010</v>
      </c>
    </row>
    <row r="161" spans="1:6" s="20" customFormat="1" ht="19.5" hidden="1" customHeight="1" x14ac:dyDescent="0.25">
      <c r="A161" s="82" t="s">
        <v>186</v>
      </c>
      <c r="B161" s="30">
        <f>B149</f>
        <v>22483.85</v>
      </c>
      <c r="C161" s="30">
        <f t="shared" ref="C161:E161" si="10">C149</f>
        <v>0</v>
      </c>
      <c r="D161" s="30">
        <f t="shared" si="10"/>
        <v>103976.4</v>
      </c>
      <c r="E161" s="30">
        <f t="shared" si="10"/>
        <v>126460.25</v>
      </c>
      <c r="F161" s="36" t="s">
        <v>32</v>
      </c>
    </row>
    <row r="162" spans="1:6" s="20" customFormat="1" ht="19.5" hidden="1" customHeight="1" x14ac:dyDescent="0.25">
      <c r="A162" s="82" t="s">
        <v>187</v>
      </c>
      <c r="B162" s="30">
        <f>B152</f>
        <v>20782.349999999999</v>
      </c>
      <c r="C162" s="30">
        <f t="shared" ref="C162:E162" si="11">C152</f>
        <v>0</v>
      </c>
      <c r="D162" s="30">
        <f t="shared" si="11"/>
        <v>83843.95</v>
      </c>
      <c r="E162" s="30">
        <f t="shared" si="11"/>
        <v>104626.29999999999</v>
      </c>
      <c r="F162" s="36" t="s">
        <v>35</v>
      </c>
    </row>
    <row r="163" spans="1:6" s="20" customFormat="1" ht="19.5" hidden="1" customHeight="1" x14ac:dyDescent="0.25">
      <c r="A163" s="82" t="s">
        <v>188</v>
      </c>
      <c r="B163" s="30">
        <f>B155</f>
        <v>21797.8</v>
      </c>
      <c r="C163" s="30">
        <f t="shared" ref="C163:E163" si="12">C155</f>
        <v>0</v>
      </c>
      <c r="D163" s="30">
        <f t="shared" si="12"/>
        <v>82828.5</v>
      </c>
      <c r="E163" s="30">
        <f t="shared" si="12"/>
        <v>104626.3</v>
      </c>
      <c r="F163" s="36" t="s">
        <v>37</v>
      </c>
    </row>
    <row r="164" spans="1:6" s="20" customFormat="1" ht="19.5" hidden="1" customHeight="1" x14ac:dyDescent="0.25">
      <c r="A164" s="82" t="s">
        <v>189</v>
      </c>
      <c r="B164" s="30">
        <f>B158</f>
        <v>20591.599999999999</v>
      </c>
      <c r="C164" s="30">
        <f t="shared" ref="C164:E164" si="13">C158</f>
        <v>0</v>
      </c>
      <c r="D164" s="30">
        <f t="shared" si="13"/>
        <v>87074.85</v>
      </c>
      <c r="E164" s="30">
        <f t="shared" si="13"/>
        <v>107666.45000000001</v>
      </c>
      <c r="F164" s="36" t="s">
        <v>41</v>
      </c>
    </row>
    <row r="165" spans="1:6" s="20" customFormat="1" ht="19.5" customHeight="1" x14ac:dyDescent="0.25">
      <c r="A165" s="36">
        <v>2013</v>
      </c>
      <c r="B165" s="30">
        <f>B247</f>
        <v>7385.7</v>
      </c>
      <c r="C165" s="30">
        <f t="shared" ref="C165:E165" si="14">C247</f>
        <v>0</v>
      </c>
      <c r="D165" s="30">
        <f t="shared" si="14"/>
        <v>97480.6</v>
      </c>
      <c r="E165" s="30">
        <f t="shared" si="14"/>
        <v>104866.3</v>
      </c>
      <c r="F165" s="36">
        <v>2013</v>
      </c>
    </row>
    <row r="166" spans="1:6" s="20" customFormat="1" ht="19.5" hidden="1" customHeight="1" x14ac:dyDescent="0.25">
      <c r="A166" s="82" t="s">
        <v>190</v>
      </c>
      <c r="B166" s="30"/>
      <c r="C166" s="30"/>
      <c r="D166" s="30"/>
      <c r="E166" s="26"/>
      <c r="F166" s="76">
        <v>2011</v>
      </c>
    </row>
    <row r="167" spans="1:6" s="20" customFormat="1" ht="19.5" hidden="1" customHeight="1" x14ac:dyDescent="0.25">
      <c r="A167" s="82" t="s">
        <v>191</v>
      </c>
      <c r="B167" s="30">
        <v>24792.95</v>
      </c>
      <c r="C167" s="30">
        <v>0</v>
      </c>
      <c r="D167" s="30">
        <v>87943.4</v>
      </c>
      <c r="E167" s="26">
        <f t="shared" ref="E167:E259" si="15">B167+C167+D167</f>
        <v>112736.34999999999</v>
      </c>
      <c r="F167" s="78" t="s">
        <v>30</v>
      </c>
    </row>
    <row r="168" spans="1:6" s="20" customFormat="1" ht="19.5" hidden="1" customHeight="1" x14ac:dyDescent="0.25">
      <c r="A168" s="82" t="s">
        <v>192</v>
      </c>
      <c r="B168" s="30">
        <v>24955.7</v>
      </c>
      <c r="C168" s="30">
        <v>0</v>
      </c>
      <c r="D168" s="30">
        <v>94663.85</v>
      </c>
      <c r="E168" s="26">
        <f t="shared" si="15"/>
        <v>119619.55</v>
      </c>
      <c r="F168" s="78" t="s">
        <v>31</v>
      </c>
    </row>
    <row r="169" spans="1:6" s="20" customFormat="1" ht="19.5" hidden="1" customHeight="1" x14ac:dyDescent="0.25">
      <c r="A169" s="82" t="s">
        <v>193</v>
      </c>
      <c r="B169" s="30">
        <v>26070.6</v>
      </c>
      <c r="C169" s="30">
        <v>557</v>
      </c>
      <c r="D169" s="30">
        <v>92991.95</v>
      </c>
      <c r="E169" s="26">
        <f t="shared" si="15"/>
        <v>119619.54999999999</v>
      </c>
      <c r="F169" s="78" t="s">
        <v>3</v>
      </c>
    </row>
    <row r="170" spans="1:6" s="20" customFormat="1" ht="19.5" hidden="1" customHeight="1" x14ac:dyDescent="0.25">
      <c r="A170" s="82" t="s">
        <v>194</v>
      </c>
      <c r="B170" s="30">
        <v>25845.200000000001</v>
      </c>
      <c r="C170" s="30">
        <v>7501.55</v>
      </c>
      <c r="D170" s="30">
        <v>89126</v>
      </c>
      <c r="E170" s="26">
        <f t="shared" si="15"/>
        <v>122472.75</v>
      </c>
      <c r="F170" s="78" t="s">
        <v>33</v>
      </c>
    </row>
    <row r="171" spans="1:6" s="20" customFormat="1" ht="19.5" hidden="1" customHeight="1" x14ac:dyDescent="0.25">
      <c r="A171" s="82" t="s">
        <v>195</v>
      </c>
      <c r="B171" s="30">
        <v>25484.7</v>
      </c>
      <c r="C171" s="30">
        <v>12685.5</v>
      </c>
      <c r="D171" s="30">
        <v>85112.2</v>
      </c>
      <c r="E171" s="26">
        <f t="shared" si="15"/>
        <v>123282.4</v>
      </c>
      <c r="F171" s="78" t="s">
        <v>34</v>
      </c>
    </row>
    <row r="172" spans="1:6" s="20" customFormat="1" ht="19.5" hidden="1" customHeight="1" x14ac:dyDescent="0.25">
      <c r="A172" s="82" t="s">
        <v>196</v>
      </c>
      <c r="B172" s="30">
        <v>24960.1</v>
      </c>
      <c r="C172" s="30">
        <v>14948.35</v>
      </c>
      <c r="D172" s="30">
        <v>84499.6</v>
      </c>
      <c r="E172" s="26">
        <f t="shared" si="15"/>
        <v>124408.05</v>
      </c>
      <c r="F172" s="78" t="s">
        <v>0</v>
      </c>
    </row>
    <row r="173" spans="1:6" s="20" customFormat="1" ht="19.5" hidden="1" customHeight="1" x14ac:dyDescent="0.25">
      <c r="A173" s="82" t="s">
        <v>197</v>
      </c>
      <c r="B173" s="30">
        <v>24644.1</v>
      </c>
      <c r="C173" s="30">
        <v>14948.35</v>
      </c>
      <c r="D173" s="30">
        <v>84523.75</v>
      </c>
      <c r="E173" s="26">
        <f t="shared" si="15"/>
        <v>124116.2</v>
      </c>
      <c r="F173" s="78" t="s">
        <v>1</v>
      </c>
    </row>
    <row r="174" spans="1:6" s="20" customFormat="1" ht="19.5" hidden="1" customHeight="1" x14ac:dyDescent="0.25">
      <c r="A174" s="82" t="s">
        <v>198</v>
      </c>
      <c r="B174" s="30">
        <v>14718.15</v>
      </c>
      <c r="C174" s="30">
        <v>13927.6</v>
      </c>
      <c r="D174" s="30">
        <v>87007.3</v>
      </c>
      <c r="E174" s="26">
        <f t="shared" si="15"/>
        <v>115653.05</v>
      </c>
      <c r="F174" s="78" t="s">
        <v>2</v>
      </c>
    </row>
    <row r="175" spans="1:6" s="20" customFormat="1" ht="19.5" hidden="1" customHeight="1" x14ac:dyDescent="0.25">
      <c r="A175" s="82" t="s">
        <v>199</v>
      </c>
      <c r="B175" s="30">
        <v>13716.1</v>
      </c>
      <c r="C175" s="30">
        <v>12369.45</v>
      </c>
      <c r="D175" s="30">
        <v>86869.55</v>
      </c>
      <c r="E175" s="26">
        <f t="shared" si="15"/>
        <v>112955.1</v>
      </c>
      <c r="F175" s="78" t="s">
        <v>36</v>
      </c>
    </row>
    <row r="176" spans="1:6" s="20" customFormat="1" ht="19.5" hidden="1" customHeight="1" x14ac:dyDescent="0.25">
      <c r="A176" s="82" t="s">
        <v>200</v>
      </c>
      <c r="B176" s="30">
        <v>8338.25</v>
      </c>
      <c r="C176" s="30">
        <v>12869.45</v>
      </c>
      <c r="D176" s="30">
        <v>86014.8</v>
      </c>
      <c r="E176" s="26">
        <f t="shared" si="15"/>
        <v>107222.5</v>
      </c>
      <c r="F176" s="78" t="s">
        <v>38</v>
      </c>
    </row>
    <row r="177" spans="1:6" s="20" customFormat="1" ht="19.5" hidden="1" customHeight="1" x14ac:dyDescent="0.25">
      <c r="A177" s="82" t="s">
        <v>201</v>
      </c>
      <c r="B177" s="30">
        <v>9879.9</v>
      </c>
      <c r="C177" s="30">
        <v>15448.35</v>
      </c>
      <c r="D177" s="30">
        <v>81894.25</v>
      </c>
      <c r="E177" s="26">
        <f t="shared" si="15"/>
        <v>107222.5</v>
      </c>
      <c r="F177" s="78" t="s">
        <v>39</v>
      </c>
    </row>
    <row r="178" spans="1:6" s="20" customFormat="1" ht="19.5" hidden="1" customHeight="1" x14ac:dyDescent="0.25">
      <c r="A178" s="82" t="s">
        <v>202</v>
      </c>
      <c r="B178" s="30">
        <v>11008.65</v>
      </c>
      <c r="C178" s="30">
        <v>15448.35</v>
      </c>
      <c r="D178" s="30">
        <v>82466</v>
      </c>
      <c r="E178" s="26">
        <f t="shared" si="15"/>
        <v>108923</v>
      </c>
      <c r="F178" s="78" t="s">
        <v>40</v>
      </c>
    </row>
    <row r="179" spans="1:6" s="20" customFormat="1" ht="19.5" hidden="1" customHeight="1" x14ac:dyDescent="0.25">
      <c r="A179" s="82" t="s">
        <v>203</v>
      </c>
      <c r="B179" s="30"/>
      <c r="C179" s="30"/>
      <c r="D179" s="30"/>
      <c r="E179" s="26"/>
      <c r="F179" s="78"/>
    </row>
    <row r="180" spans="1:6" s="20" customFormat="1" ht="19.5" customHeight="1" x14ac:dyDescent="0.25">
      <c r="A180" s="36">
        <v>2014</v>
      </c>
      <c r="B180" s="30">
        <f>B261</f>
        <v>447558.85</v>
      </c>
      <c r="C180" s="30">
        <f t="shared" ref="C180:E180" si="16">C261</f>
        <v>6</v>
      </c>
      <c r="D180" s="30">
        <f t="shared" si="16"/>
        <v>120562.7</v>
      </c>
      <c r="E180" s="30">
        <f t="shared" si="16"/>
        <v>568127.54999999993</v>
      </c>
      <c r="F180" s="36">
        <v>2014</v>
      </c>
    </row>
    <row r="181" spans="1:6" s="20" customFormat="1" ht="19.5" customHeight="1" x14ac:dyDescent="0.25">
      <c r="A181" s="36">
        <v>2015</v>
      </c>
      <c r="B181" s="30">
        <f>B275</f>
        <v>445502.05</v>
      </c>
      <c r="C181" s="30">
        <f t="shared" ref="C181:E181" si="17">C275</f>
        <v>0</v>
      </c>
      <c r="D181" s="30">
        <f t="shared" si="17"/>
        <v>127272.25</v>
      </c>
      <c r="E181" s="30">
        <f t="shared" si="17"/>
        <v>572774.30000000005</v>
      </c>
      <c r="F181" s="36">
        <v>2015</v>
      </c>
    </row>
    <row r="182" spans="1:6" s="20" customFormat="1" ht="19.5" customHeight="1" x14ac:dyDescent="0.25">
      <c r="A182" s="36">
        <v>2016</v>
      </c>
      <c r="B182" s="30">
        <f>B289</f>
        <v>439317.4</v>
      </c>
      <c r="C182" s="30">
        <f t="shared" ref="C182:E182" si="18">C289</f>
        <v>10000</v>
      </c>
      <c r="D182" s="30">
        <f t="shared" si="18"/>
        <v>134401.85</v>
      </c>
      <c r="E182" s="30">
        <f t="shared" si="18"/>
        <v>583719.25</v>
      </c>
      <c r="F182" s="36">
        <v>2016</v>
      </c>
    </row>
    <row r="183" spans="1:6" s="20" customFormat="1" ht="19.5" customHeight="1" x14ac:dyDescent="0.25">
      <c r="A183" s="78"/>
      <c r="B183" s="30"/>
      <c r="C183" s="30"/>
      <c r="D183" s="30"/>
      <c r="E183" s="26"/>
      <c r="F183" s="78"/>
    </row>
    <row r="184" spans="1:6" s="20" customFormat="1" ht="19.5" hidden="1" customHeight="1" x14ac:dyDescent="0.25">
      <c r="A184" s="78"/>
      <c r="B184" s="30"/>
      <c r="C184" s="30"/>
      <c r="D184" s="30"/>
      <c r="E184" s="26"/>
      <c r="F184" s="78"/>
    </row>
    <row r="185" spans="1:6" s="20" customFormat="1" ht="19.5" hidden="1" customHeight="1" x14ac:dyDescent="0.25">
      <c r="A185" s="36">
        <v>2011</v>
      </c>
      <c r="B185" s="30"/>
      <c r="C185" s="30"/>
      <c r="D185" s="30"/>
      <c r="E185" s="26"/>
      <c r="F185" s="36">
        <v>2011</v>
      </c>
    </row>
    <row r="186" spans="1:6" s="20" customFormat="1" ht="19.5" hidden="1" customHeight="1" x14ac:dyDescent="0.25">
      <c r="A186" s="36" t="s">
        <v>32</v>
      </c>
      <c r="B186" s="30">
        <f>B169</f>
        <v>26070.6</v>
      </c>
      <c r="C186" s="30">
        <f t="shared" ref="C186:E186" si="19">C169</f>
        <v>557</v>
      </c>
      <c r="D186" s="30">
        <f t="shared" si="19"/>
        <v>92991.95</v>
      </c>
      <c r="E186" s="30">
        <f t="shared" si="19"/>
        <v>119619.54999999999</v>
      </c>
      <c r="F186" s="36" t="s">
        <v>32</v>
      </c>
    </row>
    <row r="187" spans="1:6" s="20" customFormat="1" ht="19.5" hidden="1" customHeight="1" x14ac:dyDescent="0.25">
      <c r="A187" s="36" t="s">
        <v>35</v>
      </c>
      <c r="B187" s="30">
        <f>B172</f>
        <v>24960.1</v>
      </c>
      <c r="C187" s="30">
        <f t="shared" ref="C187:E187" si="20">C172</f>
        <v>14948.35</v>
      </c>
      <c r="D187" s="30">
        <f t="shared" si="20"/>
        <v>84499.6</v>
      </c>
      <c r="E187" s="30">
        <f t="shared" si="20"/>
        <v>124408.05</v>
      </c>
      <c r="F187" s="36" t="s">
        <v>35</v>
      </c>
    </row>
    <row r="188" spans="1:6" s="20" customFormat="1" ht="19.5" hidden="1" customHeight="1" x14ac:dyDescent="0.25">
      <c r="A188" s="36" t="s">
        <v>37</v>
      </c>
      <c r="B188" s="30">
        <f>B175</f>
        <v>13716.1</v>
      </c>
      <c r="C188" s="30">
        <f t="shared" ref="C188:E188" si="21">C175</f>
        <v>12369.45</v>
      </c>
      <c r="D188" s="30">
        <f t="shared" si="21"/>
        <v>86869.55</v>
      </c>
      <c r="E188" s="30">
        <f t="shared" si="21"/>
        <v>112955.1</v>
      </c>
      <c r="F188" s="36" t="s">
        <v>37</v>
      </c>
    </row>
    <row r="189" spans="1:6" s="20" customFormat="1" ht="19.5" hidden="1" customHeight="1" x14ac:dyDescent="0.25">
      <c r="A189" s="36" t="s">
        <v>41</v>
      </c>
      <c r="B189" s="30">
        <f>B178</f>
        <v>11008.65</v>
      </c>
      <c r="C189" s="30">
        <f t="shared" ref="C189:E189" si="22">C178</f>
        <v>15448.35</v>
      </c>
      <c r="D189" s="30">
        <f t="shared" si="22"/>
        <v>82466</v>
      </c>
      <c r="E189" s="30">
        <f t="shared" si="22"/>
        <v>108923</v>
      </c>
      <c r="F189" s="36" t="s">
        <v>41</v>
      </c>
    </row>
    <row r="190" spans="1:6" s="20" customFormat="1" ht="19.5" hidden="1" customHeight="1" x14ac:dyDescent="0.25">
      <c r="A190" s="78"/>
      <c r="B190" s="30"/>
      <c r="C190" s="30"/>
      <c r="D190" s="30"/>
      <c r="E190" s="26"/>
      <c r="F190" s="78"/>
    </row>
    <row r="191" spans="1:6" s="20" customFormat="1" ht="19.5" hidden="1" customHeight="1" x14ac:dyDescent="0.25">
      <c r="A191" s="36">
        <v>2012</v>
      </c>
      <c r="B191" s="30"/>
      <c r="C191" s="30"/>
      <c r="D191" s="30"/>
      <c r="E191" s="26"/>
      <c r="F191" s="36">
        <v>2012</v>
      </c>
    </row>
    <row r="192" spans="1:6" s="20" customFormat="1" ht="19.5" hidden="1" customHeight="1" x14ac:dyDescent="0.25">
      <c r="A192" s="36" t="s">
        <v>32</v>
      </c>
      <c r="B192" s="30">
        <f>B224</f>
        <v>12145.1</v>
      </c>
      <c r="C192" s="30">
        <f t="shared" ref="C192:E192" si="23">C224</f>
        <v>14798.45</v>
      </c>
      <c r="D192" s="30">
        <f t="shared" si="23"/>
        <v>82571.399999999994</v>
      </c>
      <c r="E192" s="30">
        <f t="shared" si="23"/>
        <v>109514.95</v>
      </c>
      <c r="F192" s="36" t="s">
        <v>32</v>
      </c>
    </row>
    <row r="193" spans="1:6" s="20" customFormat="1" ht="19.5" hidden="1" customHeight="1" x14ac:dyDescent="0.25">
      <c r="A193" s="36" t="s">
        <v>35</v>
      </c>
      <c r="B193" s="30">
        <f>B227</f>
        <v>15787.9</v>
      </c>
      <c r="C193" s="30">
        <f t="shared" ref="C193:E193" si="24">C227</f>
        <v>5769.3</v>
      </c>
      <c r="D193" s="30">
        <f t="shared" si="24"/>
        <v>87578.75</v>
      </c>
      <c r="E193" s="30">
        <f t="shared" si="24"/>
        <v>109135.95</v>
      </c>
      <c r="F193" s="36" t="s">
        <v>35</v>
      </c>
    </row>
    <row r="194" spans="1:6" s="20" customFormat="1" ht="19.5" hidden="1" customHeight="1" x14ac:dyDescent="0.25">
      <c r="A194" s="36" t="s">
        <v>37</v>
      </c>
      <c r="B194" s="30">
        <f>B230</f>
        <v>21089.65</v>
      </c>
      <c r="C194" s="30">
        <f t="shared" ref="C194:E194" si="25">C230</f>
        <v>3486.56</v>
      </c>
      <c r="D194" s="30">
        <f t="shared" si="25"/>
        <v>87583.15</v>
      </c>
      <c r="E194" s="30">
        <f t="shared" si="25"/>
        <v>112159.36</v>
      </c>
      <c r="F194" s="36" t="s">
        <v>37</v>
      </c>
    </row>
    <row r="195" spans="1:6" s="20" customFormat="1" ht="19.5" hidden="1" customHeight="1" x14ac:dyDescent="0.25">
      <c r="A195" s="36" t="s">
        <v>41</v>
      </c>
      <c r="B195" s="30">
        <f>B233</f>
        <v>19693.7</v>
      </c>
      <c r="C195" s="30">
        <f t="shared" ref="C195:E195" si="26">C233</f>
        <v>1016.1</v>
      </c>
      <c r="D195" s="30">
        <f t="shared" si="26"/>
        <v>89690.65</v>
      </c>
      <c r="E195" s="30">
        <f t="shared" si="26"/>
        <v>110400.45</v>
      </c>
      <c r="F195" s="36" t="s">
        <v>41</v>
      </c>
    </row>
    <row r="196" spans="1:6" s="20" customFormat="1" ht="19.5" hidden="1" customHeight="1" x14ac:dyDescent="0.25">
      <c r="A196" s="36"/>
      <c r="B196" s="30"/>
      <c r="C196" s="30"/>
      <c r="D196" s="30"/>
      <c r="E196" s="30"/>
      <c r="F196" s="36"/>
    </row>
    <row r="197" spans="1:6" s="20" customFormat="1" ht="19.5" hidden="1" customHeight="1" x14ac:dyDescent="0.25">
      <c r="A197" s="36">
        <v>2013</v>
      </c>
      <c r="B197" s="30"/>
      <c r="C197" s="30"/>
      <c r="D197" s="30"/>
      <c r="E197" s="30"/>
      <c r="F197" s="36">
        <v>2013</v>
      </c>
    </row>
    <row r="198" spans="1:6" s="20" customFormat="1" ht="19.5" hidden="1" customHeight="1" x14ac:dyDescent="0.25">
      <c r="A198" s="36" t="s">
        <v>32</v>
      </c>
      <c r="B198" s="30">
        <f>B238</f>
        <v>18464.650000000001</v>
      </c>
      <c r="C198" s="30">
        <f t="shared" ref="C198:E198" si="27">C238</f>
        <v>0</v>
      </c>
      <c r="D198" s="30">
        <f t="shared" si="27"/>
        <v>91935.8</v>
      </c>
      <c r="E198" s="30">
        <f t="shared" si="27"/>
        <v>110400.45000000001</v>
      </c>
      <c r="F198" s="36" t="s">
        <v>32</v>
      </c>
    </row>
    <row r="199" spans="1:6" s="20" customFormat="1" ht="19.5" hidden="1" customHeight="1" x14ac:dyDescent="0.25">
      <c r="A199" s="36" t="s">
        <v>35</v>
      </c>
      <c r="B199" s="30">
        <f>B241</f>
        <v>10203.299999999999</v>
      </c>
      <c r="C199" s="30">
        <f t="shared" ref="C199:E199" si="28">C241</f>
        <v>0</v>
      </c>
      <c r="D199" s="30">
        <f t="shared" si="28"/>
        <v>140603.45000000001</v>
      </c>
      <c r="E199" s="30">
        <f t="shared" si="28"/>
        <v>150806.75</v>
      </c>
      <c r="F199" s="36" t="s">
        <v>35</v>
      </c>
    </row>
    <row r="200" spans="1:6" s="20" customFormat="1" ht="19.5" hidden="1" customHeight="1" x14ac:dyDescent="0.25">
      <c r="A200" s="36" t="s">
        <v>37</v>
      </c>
      <c r="B200" s="30">
        <f>B244</f>
        <v>6794.2</v>
      </c>
      <c r="C200" s="30">
        <f t="shared" ref="C200:E200" si="29">C244</f>
        <v>0</v>
      </c>
      <c r="D200" s="30">
        <f t="shared" si="29"/>
        <v>100750.55</v>
      </c>
      <c r="E200" s="30">
        <f t="shared" si="29"/>
        <v>107544.75</v>
      </c>
      <c r="F200" s="36" t="s">
        <v>37</v>
      </c>
    </row>
    <row r="201" spans="1:6" s="20" customFormat="1" ht="19.5" hidden="1" customHeight="1" x14ac:dyDescent="0.25">
      <c r="A201" s="36" t="s">
        <v>41</v>
      </c>
      <c r="B201" s="30">
        <f>B247</f>
        <v>7385.7</v>
      </c>
      <c r="C201" s="30">
        <f t="shared" ref="C201:E201" si="30">C247</f>
        <v>0</v>
      </c>
      <c r="D201" s="30">
        <f t="shared" si="30"/>
        <v>97480.6</v>
      </c>
      <c r="E201" s="30">
        <f t="shared" si="30"/>
        <v>104866.3</v>
      </c>
      <c r="F201" s="36" t="s">
        <v>41</v>
      </c>
    </row>
    <row r="202" spans="1:6" s="20" customFormat="1" ht="19.5" hidden="1" customHeight="1" x14ac:dyDescent="0.25">
      <c r="A202" s="36"/>
      <c r="B202" s="30"/>
      <c r="C202" s="30"/>
      <c r="D202" s="30"/>
      <c r="E202" s="30"/>
      <c r="F202" s="36"/>
    </row>
    <row r="203" spans="1:6" s="20" customFormat="1" ht="19.5" customHeight="1" x14ac:dyDescent="0.25">
      <c r="A203" s="36">
        <v>2014</v>
      </c>
      <c r="B203" s="30"/>
      <c r="C203" s="30"/>
      <c r="D203" s="30"/>
      <c r="E203" s="30"/>
      <c r="F203" s="36">
        <v>2014</v>
      </c>
    </row>
    <row r="204" spans="1:6" s="20" customFormat="1" ht="19.5" customHeight="1" x14ac:dyDescent="0.25">
      <c r="A204" s="36" t="s">
        <v>32</v>
      </c>
      <c r="B204" s="30">
        <f>B252</f>
        <v>7969.2</v>
      </c>
      <c r="C204" s="30">
        <f t="shared" ref="C204:E204" si="31">C252</f>
        <v>0</v>
      </c>
      <c r="D204" s="30">
        <f t="shared" si="31"/>
        <v>129913.8</v>
      </c>
      <c r="E204" s="30">
        <f t="shared" si="31"/>
        <v>137883</v>
      </c>
      <c r="F204" s="36" t="s">
        <v>32</v>
      </c>
    </row>
    <row r="205" spans="1:6" s="20" customFormat="1" ht="19.5" customHeight="1" x14ac:dyDescent="0.25">
      <c r="A205" s="36" t="s">
        <v>35</v>
      </c>
      <c r="B205" s="30">
        <f>B255</f>
        <v>9741.5</v>
      </c>
      <c r="C205" s="30">
        <f t="shared" ref="C205:E205" si="32">C255</f>
        <v>0</v>
      </c>
      <c r="D205" s="30">
        <f t="shared" si="32"/>
        <v>122603.45</v>
      </c>
      <c r="E205" s="30">
        <f t="shared" si="32"/>
        <v>132344.95000000001</v>
      </c>
      <c r="F205" s="36" t="s">
        <v>35</v>
      </c>
    </row>
    <row r="206" spans="1:6" s="20" customFormat="1" ht="19.5" customHeight="1" x14ac:dyDescent="0.25">
      <c r="A206" s="36" t="s">
        <v>37</v>
      </c>
      <c r="B206" s="30">
        <f>B258</f>
        <v>450100.55</v>
      </c>
      <c r="C206" s="30">
        <f t="shared" ref="C206:E206" si="33">C258</f>
        <v>6</v>
      </c>
      <c r="D206" s="30">
        <f t="shared" si="33"/>
        <v>120856.3</v>
      </c>
      <c r="E206" s="30">
        <f t="shared" si="33"/>
        <v>570962.85</v>
      </c>
      <c r="F206" s="36" t="s">
        <v>37</v>
      </c>
    </row>
    <row r="207" spans="1:6" s="20" customFormat="1" ht="19.5" customHeight="1" x14ac:dyDescent="0.25">
      <c r="A207" s="36" t="s">
        <v>41</v>
      </c>
      <c r="B207" s="30">
        <f>B261</f>
        <v>447558.85</v>
      </c>
      <c r="C207" s="30">
        <f t="shared" ref="C207:E207" si="34">C261</f>
        <v>6</v>
      </c>
      <c r="D207" s="30">
        <f t="shared" si="34"/>
        <v>120562.7</v>
      </c>
      <c r="E207" s="30">
        <f t="shared" si="34"/>
        <v>568127.54999999993</v>
      </c>
      <c r="F207" s="36" t="s">
        <v>41</v>
      </c>
    </row>
    <row r="208" spans="1:6" s="20" customFormat="1" ht="19.5" customHeight="1" x14ac:dyDescent="0.25">
      <c r="A208" s="36"/>
      <c r="B208" s="30"/>
      <c r="C208" s="30"/>
      <c r="D208" s="30"/>
      <c r="E208" s="30"/>
      <c r="F208" s="36"/>
    </row>
    <row r="209" spans="1:6" s="20" customFormat="1" ht="19.5" customHeight="1" x14ac:dyDescent="0.25">
      <c r="A209" s="36">
        <v>2015</v>
      </c>
      <c r="B209" s="30"/>
      <c r="C209" s="30"/>
      <c r="D209" s="30"/>
      <c r="E209" s="30"/>
      <c r="F209" s="36">
        <v>2015</v>
      </c>
    </row>
    <row r="210" spans="1:6" s="20" customFormat="1" ht="19.5" customHeight="1" x14ac:dyDescent="0.25">
      <c r="A210" s="36" t="s">
        <v>32</v>
      </c>
      <c r="B210" s="30">
        <f>B266</f>
        <v>444395.19999999995</v>
      </c>
      <c r="C210" s="30">
        <f t="shared" ref="C210:E210" si="35">C266</f>
        <v>0</v>
      </c>
      <c r="D210" s="30">
        <f t="shared" si="35"/>
        <v>122894.3</v>
      </c>
      <c r="E210" s="30">
        <f t="shared" si="35"/>
        <v>567289.5</v>
      </c>
      <c r="F210" s="36" t="s">
        <v>32</v>
      </c>
    </row>
    <row r="211" spans="1:6" s="20" customFormat="1" ht="19.5" customHeight="1" x14ac:dyDescent="0.25">
      <c r="A211" s="36" t="s">
        <v>35</v>
      </c>
      <c r="B211" s="30">
        <f>B269</f>
        <v>444310.85</v>
      </c>
      <c r="C211" s="30">
        <f t="shared" ref="C211:E211" si="36">C269</f>
        <v>0</v>
      </c>
      <c r="D211" s="30">
        <f t="shared" si="36"/>
        <v>118542.3</v>
      </c>
      <c r="E211" s="30">
        <f t="shared" si="36"/>
        <v>562853.15</v>
      </c>
      <c r="F211" s="36" t="s">
        <v>35</v>
      </c>
    </row>
    <row r="212" spans="1:6" s="20" customFormat="1" ht="19.5" customHeight="1" x14ac:dyDescent="0.25">
      <c r="A212" s="36" t="s">
        <v>37</v>
      </c>
      <c r="B212" s="30">
        <f>B272</f>
        <v>445098.44999999995</v>
      </c>
      <c r="C212" s="30">
        <f t="shared" ref="C212:E212" si="37">C272</f>
        <v>0</v>
      </c>
      <c r="D212" s="30">
        <f t="shared" si="37"/>
        <v>115622.25</v>
      </c>
      <c r="E212" s="30">
        <f t="shared" si="37"/>
        <v>560720.69999999995</v>
      </c>
      <c r="F212" s="36" t="s">
        <v>37</v>
      </c>
    </row>
    <row r="213" spans="1:6" s="20" customFormat="1" ht="19.5" customHeight="1" x14ac:dyDescent="0.25">
      <c r="A213" s="36" t="s">
        <v>41</v>
      </c>
      <c r="B213" s="30">
        <f>B275</f>
        <v>445502.05</v>
      </c>
      <c r="C213" s="30">
        <f t="shared" ref="C213:E213" si="38">C275</f>
        <v>0</v>
      </c>
      <c r="D213" s="30">
        <f t="shared" si="38"/>
        <v>127272.25</v>
      </c>
      <c r="E213" s="30">
        <f t="shared" si="38"/>
        <v>572774.30000000005</v>
      </c>
      <c r="F213" s="36" t="s">
        <v>41</v>
      </c>
    </row>
    <row r="214" spans="1:6" s="20" customFormat="1" ht="19.5" customHeight="1" x14ac:dyDescent="0.25">
      <c r="A214" s="36"/>
      <c r="B214" s="30"/>
      <c r="C214" s="30"/>
      <c r="D214" s="30"/>
      <c r="E214" s="30"/>
      <c r="F214" s="36"/>
    </row>
    <row r="215" spans="1:6" s="20" customFormat="1" ht="19.5" customHeight="1" x14ac:dyDescent="0.25">
      <c r="A215" s="36">
        <v>2016</v>
      </c>
      <c r="B215" s="30"/>
      <c r="C215" s="30"/>
      <c r="D215" s="30"/>
      <c r="E215" s="30"/>
      <c r="F215" s="36">
        <v>2016</v>
      </c>
    </row>
    <row r="216" spans="1:6" s="20" customFormat="1" ht="19.5" customHeight="1" x14ac:dyDescent="0.25">
      <c r="A216" s="36" t="s">
        <v>32</v>
      </c>
      <c r="B216" s="30">
        <f>B280</f>
        <v>447526.25</v>
      </c>
      <c r="C216" s="30">
        <f t="shared" ref="C216:E216" si="39">C280</f>
        <v>10037</v>
      </c>
      <c r="D216" s="30">
        <f t="shared" si="39"/>
        <v>118137.45000000001</v>
      </c>
      <c r="E216" s="30">
        <f t="shared" si="39"/>
        <v>575700.69999999995</v>
      </c>
      <c r="F216" s="36" t="s">
        <v>32</v>
      </c>
    </row>
    <row r="217" spans="1:6" s="20" customFormat="1" ht="19.5" customHeight="1" x14ac:dyDescent="0.25">
      <c r="A217" s="36" t="s">
        <v>35</v>
      </c>
      <c r="B217" s="30">
        <f>B283</f>
        <v>452950.5</v>
      </c>
      <c r="C217" s="30">
        <f t="shared" ref="C217:E217" si="40">C283</f>
        <v>10037</v>
      </c>
      <c r="D217" s="30">
        <f t="shared" si="40"/>
        <v>105795.15</v>
      </c>
      <c r="E217" s="30">
        <f t="shared" si="40"/>
        <v>568782.65</v>
      </c>
      <c r="F217" s="36" t="s">
        <v>35</v>
      </c>
    </row>
    <row r="218" spans="1:6" s="20" customFormat="1" ht="19.5" customHeight="1" x14ac:dyDescent="0.25">
      <c r="A218" s="36" t="s">
        <v>37</v>
      </c>
      <c r="B218" s="30">
        <f>B286</f>
        <v>450429.9</v>
      </c>
      <c r="C218" s="30">
        <f t="shared" ref="C218:E218" si="41">C286</f>
        <v>10000</v>
      </c>
      <c r="D218" s="30">
        <f t="shared" si="41"/>
        <v>98751.35</v>
      </c>
      <c r="E218" s="30">
        <f t="shared" si="41"/>
        <v>559181.25</v>
      </c>
      <c r="F218" s="36" t="s">
        <v>37</v>
      </c>
    </row>
    <row r="219" spans="1:6" s="20" customFormat="1" ht="19.5" customHeight="1" x14ac:dyDescent="0.25">
      <c r="A219" s="36" t="s">
        <v>41</v>
      </c>
      <c r="B219" s="30">
        <f>B289</f>
        <v>439317.4</v>
      </c>
      <c r="C219" s="30">
        <f t="shared" ref="C219:E219" si="42">C289</f>
        <v>10000</v>
      </c>
      <c r="D219" s="30">
        <f t="shared" si="42"/>
        <v>134401.85</v>
      </c>
      <c r="E219" s="30">
        <f t="shared" si="42"/>
        <v>583719.25</v>
      </c>
      <c r="F219" s="36" t="s">
        <v>41</v>
      </c>
    </row>
    <row r="220" spans="1:6" s="20" customFormat="1" ht="19.5" customHeight="1" x14ac:dyDescent="0.25">
      <c r="A220" s="36"/>
      <c r="B220" s="30"/>
      <c r="C220" s="30"/>
      <c r="D220" s="30"/>
      <c r="E220" s="30"/>
      <c r="F220" s="78"/>
    </row>
    <row r="221" spans="1:6" s="20" customFormat="1" ht="19.5" customHeight="1" x14ac:dyDescent="0.25">
      <c r="A221" s="76">
        <v>2012</v>
      </c>
      <c r="B221" s="30"/>
      <c r="C221" s="30"/>
      <c r="D221" s="30"/>
      <c r="E221" s="26"/>
      <c r="F221" s="76">
        <v>2012</v>
      </c>
    </row>
    <row r="222" spans="1:6" s="20" customFormat="1" ht="19.5" customHeight="1" x14ac:dyDescent="0.25">
      <c r="A222" s="78" t="s">
        <v>30</v>
      </c>
      <c r="B222" s="30">
        <v>11060.15</v>
      </c>
      <c r="C222" s="30">
        <v>15448.35</v>
      </c>
      <c r="D222" s="30">
        <v>82542.2</v>
      </c>
      <c r="E222" s="26">
        <f t="shared" si="15"/>
        <v>109050.7</v>
      </c>
      <c r="F222" s="78" t="s">
        <v>30</v>
      </c>
    </row>
    <row r="223" spans="1:6" s="20" customFormat="1" ht="19.5" customHeight="1" x14ac:dyDescent="0.25">
      <c r="A223" s="78" t="s">
        <v>31</v>
      </c>
      <c r="B223" s="30">
        <v>10717.7</v>
      </c>
      <c r="C223" s="30">
        <v>15086.2</v>
      </c>
      <c r="D223" s="30">
        <v>82374.05</v>
      </c>
      <c r="E223" s="26">
        <f t="shared" si="15"/>
        <v>108177.95000000001</v>
      </c>
      <c r="F223" s="78" t="s">
        <v>31</v>
      </c>
    </row>
    <row r="224" spans="1:6" s="20" customFormat="1" ht="19.5" customHeight="1" x14ac:dyDescent="0.25">
      <c r="A224" s="78" t="s">
        <v>3</v>
      </c>
      <c r="B224" s="30">
        <v>12145.1</v>
      </c>
      <c r="C224" s="30">
        <v>14798.45</v>
      </c>
      <c r="D224" s="30">
        <v>82571.399999999994</v>
      </c>
      <c r="E224" s="26">
        <f t="shared" si="15"/>
        <v>109514.95</v>
      </c>
      <c r="F224" s="78" t="s">
        <v>3</v>
      </c>
    </row>
    <row r="225" spans="1:6" s="20" customFormat="1" ht="19.5" customHeight="1" x14ac:dyDescent="0.25">
      <c r="A225" s="78" t="s">
        <v>33</v>
      </c>
      <c r="B225" s="30">
        <v>11798.05</v>
      </c>
      <c r="C225" s="30">
        <v>11636.05</v>
      </c>
      <c r="D225" s="30">
        <v>85630.45</v>
      </c>
      <c r="E225" s="26">
        <f t="shared" si="15"/>
        <v>109064.54999999999</v>
      </c>
      <c r="F225" s="78" t="s">
        <v>33</v>
      </c>
    </row>
    <row r="226" spans="1:6" s="20" customFormat="1" ht="19.5" customHeight="1" x14ac:dyDescent="0.25">
      <c r="A226" s="78" t="s">
        <v>34</v>
      </c>
      <c r="B226" s="30">
        <v>14908.15</v>
      </c>
      <c r="C226" s="30">
        <v>9820</v>
      </c>
      <c r="D226" s="30">
        <v>84336.4</v>
      </c>
      <c r="E226" s="26">
        <f t="shared" si="15"/>
        <v>109064.54999999999</v>
      </c>
      <c r="F226" s="78" t="s">
        <v>34</v>
      </c>
    </row>
    <row r="227" spans="1:6" s="20" customFormat="1" ht="19.5" customHeight="1" x14ac:dyDescent="0.25">
      <c r="A227" s="78" t="s">
        <v>0</v>
      </c>
      <c r="B227" s="30">
        <v>15787.9</v>
      </c>
      <c r="C227" s="30">
        <v>5769.3</v>
      </c>
      <c r="D227" s="30">
        <v>87578.75</v>
      </c>
      <c r="E227" s="26">
        <f t="shared" si="15"/>
        <v>109135.95</v>
      </c>
      <c r="F227" s="78" t="s">
        <v>0</v>
      </c>
    </row>
    <row r="228" spans="1:6" s="20" customFormat="1" ht="19.5" customHeight="1" x14ac:dyDescent="0.25">
      <c r="A228" s="78" t="s">
        <v>1</v>
      </c>
      <c r="B228" s="30">
        <v>18847.25</v>
      </c>
      <c r="C228" s="30">
        <v>5131.3500000000004</v>
      </c>
      <c r="D228" s="30">
        <v>83246.649999999994</v>
      </c>
      <c r="E228" s="26">
        <f t="shared" si="15"/>
        <v>107225.25</v>
      </c>
      <c r="F228" s="78" t="s">
        <v>1</v>
      </c>
    </row>
    <row r="229" spans="1:6" s="20" customFormat="1" ht="19.5" customHeight="1" x14ac:dyDescent="0.25">
      <c r="A229" s="78" t="s">
        <v>2</v>
      </c>
      <c r="B229" s="30">
        <v>20094.849999999999</v>
      </c>
      <c r="C229" s="30">
        <v>5044.7</v>
      </c>
      <c r="D229" s="30">
        <v>86381.45</v>
      </c>
      <c r="E229" s="26">
        <f t="shared" si="15"/>
        <v>111521</v>
      </c>
      <c r="F229" s="78" t="s">
        <v>2</v>
      </c>
    </row>
    <row r="230" spans="1:6" s="20" customFormat="1" ht="19.5" customHeight="1" x14ac:dyDescent="0.25">
      <c r="A230" s="78" t="s">
        <v>36</v>
      </c>
      <c r="B230" s="30">
        <v>21089.65</v>
      </c>
      <c r="C230" s="30">
        <v>3486.56</v>
      </c>
      <c r="D230" s="30">
        <v>87583.15</v>
      </c>
      <c r="E230" s="26">
        <f t="shared" si="15"/>
        <v>112159.36</v>
      </c>
      <c r="F230" s="78" t="s">
        <v>36</v>
      </c>
    </row>
    <row r="231" spans="1:6" s="20" customFormat="1" ht="19.5" customHeight="1" x14ac:dyDescent="0.25">
      <c r="A231" s="78" t="s">
        <v>38</v>
      </c>
      <c r="B231" s="30">
        <v>23039.15</v>
      </c>
      <c r="C231" s="30">
        <v>2597.5</v>
      </c>
      <c r="D231" s="30">
        <v>86522.7</v>
      </c>
      <c r="E231" s="26">
        <f t="shared" si="15"/>
        <v>112159.35</v>
      </c>
      <c r="F231" s="78" t="s">
        <v>38</v>
      </c>
    </row>
    <row r="232" spans="1:6" s="20" customFormat="1" ht="19.5" customHeight="1" x14ac:dyDescent="0.25">
      <c r="A232" s="78" t="s">
        <v>39</v>
      </c>
      <c r="B232" s="30">
        <v>19828.400000000001</v>
      </c>
      <c r="C232" s="30">
        <v>1185.8</v>
      </c>
      <c r="D232" s="30">
        <v>90806.85</v>
      </c>
      <c r="E232" s="26">
        <f t="shared" si="15"/>
        <v>111821.05</v>
      </c>
      <c r="F232" s="78" t="s">
        <v>39</v>
      </c>
    </row>
    <row r="233" spans="1:6" s="20" customFormat="1" ht="19.5" customHeight="1" x14ac:dyDescent="0.25">
      <c r="A233" s="78" t="s">
        <v>40</v>
      </c>
      <c r="B233" s="30">
        <v>19693.7</v>
      </c>
      <c r="C233" s="30">
        <v>1016.1</v>
      </c>
      <c r="D233" s="30">
        <v>89690.65</v>
      </c>
      <c r="E233" s="26">
        <f t="shared" si="15"/>
        <v>110400.45</v>
      </c>
      <c r="F233" s="78" t="s">
        <v>40</v>
      </c>
    </row>
    <row r="234" spans="1:6" s="20" customFormat="1" ht="19.5" customHeight="1" x14ac:dyDescent="0.25">
      <c r="A234" s="78"/>
      <c r="B234" s="30"/>
      <c r="C234" s="30"/>
      <c r="D234" s="30"/>
      <c r="E234" s="26"/>
      <c r="F234" s="78"/>
    </row>
    <row r="235" spans="1:6" s="20" customFormat="1" ht="19.5" customHeight="1" x14ac:dyDescent="0.25">
      <c r="A235" s="76">
        <v>2013</v>
      </c>
      <c r="E235" s="26"/>
      <c r="F235" s="76">
        <v>2013</v>
      </c>
    </row>
    <row r="236" spans="1:6" s="20" customFormat="1" ht="19.5" customHeight="1" x14ac:dyDescent="0.25">
      <c r="A236" s="78" t="s">
        <v>30</v>
      </c>
      <c r="B236" s="30">
        <v>17959.05</v>
      </c>
      <c r="C236" s="30">
        <v>0</v>
      </c>
      <c r="D236" s="30">
        <v>92441.4</v>
      </c>
      <c r="E236" s="26">
        <f t="shared" si="15"/>
        <v>110400.45</v>
      </c>
      <c r="F236" s="78" t="s">
        <v>30</v>
      </c>
    </row>
    <row r="237" spans="1:6" s="20" customFormat="1" ht="19.5" customHeight="1" x14ac:dyDescent="0.25">
      <c r="A237" s="78" t="s">
        <v>31</v>
      </c>
      <c r="B237" s="30">
        <v>18282.25</v>
      </c>
      <c r="C237" s="30">
        <v>0</v>
      </c>
      <c r="D237" s="30">
        <v>92118.2</v>
      </c>
      <c r="E237" s="26">
        <f t="shared" si="15"/>
        <v>110400.45</v>
      </c>
      <c r="F237" s="78" t="s">
        <v>31</v>
      </c>
    </row>
    <row r="238" spans="1:6" s="20" customFormat="1" ht="19.5" customHeight="1" x14ac:dyDescent="0.25">
      <c r="A238" s="78" t="s">
        <v>3</v>
      </c>
      <c r="B238" s="30">
        <v>18464.650000000001</v>
      </c>
      <c r="C238" s="30">
        <v>0</v>
      </c>
      <c r="D238" s="30">
        <v>91935.8</v>
      </c>
      <c r="E238" s="26">
        <f t="shared" si="15"/>
        <v>110400.45000000001</v>
      </c>
      <c r="F238" s="78" t="s">
        <v>3</v>
      </c>
    </row>
    <row r="239" spans="1:6" s="20" customFormat="1" ht="19.5" customHeight="1" x14ac:dyDescent="0.25">
      <c r="A239" s="78" t="s">
        <v>33</v>
      </c>
      <c r="B239" s="30">
        <v>14573.9</v>
      </c>
      <c r="C239" s="30">
        <v>0</v>
      </c>
      <c r="D239" s="30">
        <v>95826.55</v>
      </c>
      <c r="E239" s="26">
        <f t="shared" si="15"/>
        <v>110400.45</v>
      </c>
      <c r="F239" s="78" t="s">
        <v>33</v>
      </c>
    </row>
    <row r="240" spans="1:6" s="20" customFormat="1" ht="19.5" customHeight="1" x14ac:dyDescent="0.25">
      <c r="A240" s="78" t="s">
        <v>34</v>
      </c>
      <c r="B240" s="30">
        <v>13053.8</v>
      </c>
      <c r="C240" s="30">
        <v>0</v>
      </c>
      <c r="D240" s="30">
        <v>97346.65</v>
      </c>
      <c r="E240" s="26">
        <f t="shared" si="15"/>
        <v>110400.45</v>
      </c>
      <c r="F240" s="78" t="s">
        <v>34</v>
      </c>
    </row>
    <row r="241" spans="1:6" s="20" customFormat="1" ht="19.5" customHeight="1" x14ac:dyDescent="0.25">
      <c r="A241" s="78" t="s">
        <v>0</v>
      </c>
      <c r="B241" s="30">
        <v>10203.299999999999</v>
      </c>
      <c r="C241" s="30">
        <v>0</v>
      </c>
      <c r="D241" s="30">
        <f>100116.45+40487</f>
        <v>140603.45000000001</v>
      </c>
      <c r="E241" s="26">
        <f t="shared" si="15"/>
        <v>150806.75</v>
      </c>
      <c r="F241" s="78" t="s">
        <v>0</v>
      </c>
    </row>
    <row r="242" spans="1:6" s="20" customFormat="1" ht="19.5" customHeight="1" x14ac:dyDescent="0.25">
      <c r="A242" s="78" t="s">
        <v>1</v>
      </c>
      <c r="B242" s="30">
        <v>8002.75</v>
      </c>
      <c r="C242" s="30">
        <v>0</v>
      </c>
      <c r="D242" s="30">
        <v>102532.45</v>
      </c>
      <c r="E242" s="26">
        <f t="shared" si="15"/>
        <v>110535.2</v>
      </c>
      <c r="F242" s="78" t="s">
        <v>1</v>
      </c>
    </row>
    <row r="243" spans="1:6" s="20" customFormat="1" ht="19.5" customHeight="1" x14ac:dyDescent="0.25">
      <c r="A243" s="78" t="s">
        <v>2</v>
      </c>
      <c r="B243" s="30">
        <v>7734.36</v>
      </c>
      <c r="C243" s="30">
        <v>0</v>
      </c>
      <c r="D243" s="30">
        <v>102261.55</v>
      </c>
      <c r="E243" s="26">
        <f t="shared" si="15"/>
        <v>109995.91</v>
      </c>
      <c r="F243" s="78" t="s">
        <v>2</v>
      </c>
    </row>
    <row r="244" spans="1:6" s="20" customFormat="1" ht="19.5" customHeight="1" x14ac:dyDescent="0.25">
      <c r="A244" s="78" t="s">
        <v>36</v>
      </c>
      <c r="B244" s="30">
        <v>6794.2</v>
      </c>
      <c r="C244" s="30">
        <v>0</v>
      </c>
      <c r="D244" s="30">
        <v>100750.55</v>
      </c>
      <c r="E244" s="26">
        <f t="shared" si="15"/>
        <v>107544.75</v>
      </c>
      <c r="F244" s="78" t="s">
        <v>36</v>
      </c>
    </row>
    <row r="245" spans="1:6" s="20" customFormat="1" ht="19.5" customHeight="1" x14ac:dyDescent="0.25">
      <c r="A245" s="78" t="s">
        <v>38</v>
      </c>
      <c r="B245" s="30">
        <v>5464.65</v>
      </c>
      <c r="C245" s="30">
        <v>0</v>
      </c>
      <c r="D245" s="30">
        <v>100488.6</v>
      </c>
      <c r="E245" s="26">
        <f t="shared" si="15"/>
        <v>105953.25</v>
      </c>
      <c r="F245" s="78" t="s">
        <v>38</v>
      </c>
    </row>
    <row r="246" spans="1:6" s="20" customFormat="1" ht="19.5" customHeight="1" x14ac:dyDescent="0.25">
      <c r="A246" s="78" t="s">
        <v>39</v>
      </c>
      <c r="B246" s="30">
        <v>6225.7</v>
      </c>
      <c r="C246" s="30">
        <v>0</v>
      </c>
      <c r="D246" s="30">
        <v>98879.95</v>
      </c>
      <c r="E246" s="26">
        <f t="shared" si="15"/>
        <v>105105.65</v>
      </c>
      <c r="F246" s="78" t="s">
        <v>39</v>
      </c>
    </row>
    <row r="247" spans="1:6" s="20" customFormat="1" ht="19.5" customHeight="1" x14ac:dyDescent="0.25">
      <c r="A247" s="78" t="s">
        <v>40</v>
      </c>
      <c r="B247" s="30">
        <v>7385.7</v>
      </c>
      <c r="C247" s="30">
        <v>0</v>
      </c>
      <c r="D247" s="30">
        <v>97480.6</v>
      </c>
      <c r="E247" s="26">
        <f t="shared" si="15"/>
        <v>104866.3</v>
      </c>
      <c r="F247" s="78" t="s">
        <v>40</v>
      </c>
    </row>
    <row r="248" spans="1:6" s="20" customFormat="1" ht="14.25" customHeight="1" x14ac:dyDescent="0.25">
      <c r="A248" s="75"/>
      <c r="B248" s="30"/>
      <c r="C248" s="30"/>
      <c r="D248" s="30"/>
      <c r="E248" s="26"/>
      <c r="F248" s="75"/>
    </row>
    <row r="249" spans="1:6" s="20" customFormat="1" ht="20.25" customHeight="1" x14ac:dyDescent="0.25">
      <c r="A249" s="76">
        <v>2014</v>
      </c>
      <c r="B249" s="30"/>
      <c r="C249" s="30"/>
      <c r="D249" s="30"/>
      <c r="E249" s="26"/>
      <c r="F249" s="76">
        <v>2014</v>
      </c>
    </row>
    <row r="250" spans="1:6" s="20" customFormat="1" ht="20.25" customHeight="1" x14ac:dyDescent="0.25">
      <c r="A250" s="78" t="s">
        <v>30</v>
      </c>
      <c r="B250" s="30">
        <v>5906.7</v>
      </c>
      <c r="C250" s="30">
        <v>0</v>
      </c>
      <c r="D250" s="30">
        <f>95539.1+40487</f>
        <v>136026.1</v>
      </c>
      <c r="E250" s="26">
        <f t="shared" si="15"/>
        <v>141932.80000000002</v>
      </c>
      <c r="F250" s="78" t="s">
        <v>30</v>
      </c>
    </row>
    <row r="251" spans="1:6" s="20" customFormat="1" ht="20.25" customHeight="1" x14ac:dyDescent="0.25">
      <c r="A251" s="78" t="s">
        <v>31</v>
      </c>
      <c r="B251" s="30">
        <v>6007.85</v>
      </c>
      <c r="C251" s="30">
        <v>0</v>
      </c>
      <c r="D251" s="30">
        <f>93102.95+40487</f>
        <v>133589.95000000001</v>
      </c>
      <c r="E251" s="26">
        <f t="shared" si="15"/>
        <v>139597.80000000002</v>
      </c>
      <c r="F251" s="78" t="s">
        <v>31</v>
      </c>
    </row>
    <row r="252" spans="1:6" s="20" customFormat="1" ht="20.25" customHeight="1" x14ac:dyDescent="0.25">
      <c r="A252" s="78" t="s">
        <v>3</v>
      </c>
      <c r="B252" s="30">
        <v>7969.2</v>
      </c>
      <c r="C252" s="30">
        <v>0</v>
      </c>
      <c r="D252" s="30">
        <f>89426.8+40487</f>
        <v>129913.8</v>
      </c>
      <c r="E252" s="26">
        <f t="shared" si="15"/>
        <v>137883</v>
      </c>
      <c r="F252" s="78" t="s">
        <v>3</v>
      </c>
    </row>
    <row r="253" spans="1:6" s="20" customFormat="1" ht="20.25" customHeight="1" x14ac:dyDescent="0.25">
      <c r="A253" s="78" t="s">
        <v>33</v>
      </c>
      <c r="B253" s="30">
        <v>8295.2000000000007</v>
      </c>
      <c r="C253" s="30">
        <v>0</v>
      </c>
      <c r="D253" s="30">
        <f>86504.9+40487</f>
        <v>126991.9</v>
      </c>
      <c r="E253" s="26">
        <f t="shared" si="15"/>
        <v>135287.1</v>
      </c>
      <c r="F253" s="78" t="s">
        <v>33</v>
      </c>
    </row>
    <row r="254" spans="1:6" s="20" customFormat="1" ht="20.25" customHeight="1" x14ac:dyDescent="0.25">
      <c r="A254" s="78" t="s">
        <v>34</v>
      </c>
      <c r="B254" s="30">
        <v>9456.65</v>
      </c>
      <c r="C254" s="30">
        <v>0</v>
      </c>
      <c r="D254" s="30">
        <f>85343.45+40487</f>
        <v>125830.45</v>
      </c>
      <c r="E254" s="26">
        <f t="shared" si="15"/>
        <v>135287.1</v>
      </c>
      <c r="F254" s="78" t="s">
        <v>34</v>
      </c>
    </row>
    <row r="255" spans="1:6" s="20" customFormat="1" ht="20.25" customHeight="1" x14ac:dyDescent="0.25">
      <c r="A255" s="78" t="s">
        <v>0</v>
      </c>
      <c r="B255" s="30">
        <v>9741.5</v>
      </c>
      <c r="C255" s="30">
        <v>0</v>
      </c>
      <c r="D255" s="30">
        <f>82116.45+40487</f>
        <v>122603.45</v>
      </c>
      <c r="E255" s="26">
        <f t="shared" si="15"/>
        <v>132344.95000000001</v>
      </c>
      <c r="F255" s="78" t="s">
        <v>0</v>
      </c>
    </row>
    <row r="256" spans="1:6" s="20" customFormat="1" ht="20.25" customHeight="1" x14ac:dyDescent="0.25">
      <c r="A256" s="78" t="s">
        <v>1</v>
      </c>
      <c r="B256" s="30">
        <f>8901.3+159317.4+280000</f>
        <v>448218.69999999995</v>
      </c>
      <c r="C256" s="30">
        <v>26</v>
      </c>
      <c r="D256" s="30">
        <f>82231.15+40487</f>
        <v>122718.15</v>
      </c>
      <c r="E256" s="26">
        <f t="shared" si="15"/>
        <v>570962.85</v>
      </c>
      <c r="F256" s="78" t="s">
        <v>1</v>
      </c>
    </row>
    <row r="257" spans="1:6" s="20" customFormat="1" ht="20.25" customHeight="1" x14ac:dyDescent="0.25">
      <c r="A257" s="78" t="s">
        <v>2</v>
      </c>
      <c r="B257" s="30">
        <f>9301.25+159317.4+280000</f>
        <v>448618.65</v>
      </c>
      <c r="C257" s="30">
        <v>6</v>
      </c>
      <c r="D257" s="30">
        <f>81851.2+40487</f>
        <v>122338.2</v>
      </c>
      <c r="E257" s="26">
        <f t="shared" si="15"/>
        <v>570962.85</v>
      </c>
      <c r="F257" s="78" t="s">
        <v>2</v>
      </c>
    </row>
    <row r="258" spans="1:6" s="20" customFormat="1" ht="20.25" customHeight="1" x14ac:dyDescent="0.25">
      <c r="A258" s="78" t="s">
        <v>36</v>
      </c>
      <c r="B258" s="30">
        <f>10783.15+159317.4+280000</f>
        <v>450100.55</v>
      </c>
      <c r="C258" s="30">
        <v>6</v>
      </c>
      <c r="D258" s="30">
        <f>80369.3+40487</f>
        <v>120856.3</v>
      </c>
      <c r="E258" s="26">
        <f t="shared" si="15"/>
        <v>570962.85</v>
      </c>
      <c r="F258" s="78" t="s">
        <v>36</v>
      </c>
    </row>
    <row r="259" spans="1:6" s="20" customFormat="1" ht="20.25" customHeight="1" x14ac:dyDescent="0.25">
      <c r="A259" s="78" t="s">
        <v>38</v>
      </c>
      <c r="B259" s="30">
        <f>9630.15+81801.4+280000</f>
        <v>371431.55</v>
      </c>
      <c r="C259" s="30">
        <v>6</v>
      </c>
      <c r="D259" s="30">
        <f>80060.4+40487+77516</f>
        <v>198063.4</v>
      </c>
      <c r="E259" s="26">
        <f t="shared" si="15"/>
        <v>569500.94999999995</v>
      </c>
      <c r="F259" s="78" t="s">
        <v>38</v>
      </c>
    </row>
    <row r="260" spans="1:6" s="20" customFormat="1" ht="20.25" customHeight="1" x14ac:dyDescent="0.25">
      <c r="A260" s="78" t="s">
        <v>39</v>
      </c>
      <c r="B260" s="30">
        <f>8193.25+159317.4+280000</f>
        <v>447510.65</v>
      </c>
      <c r="C260" s="30">
        <v>6</v>
      </c>
      <c r="D260" s="30">
        <f>80123.9+40487</f>
        <v>120610.9</v>
      </c>
      <c r="E260" s="26">
        <f t="shared" ref="E260:E289" si="43">B260+C260+D260</f>
        <v>568127.55000000005</v>
      </c>
      <c r="F260" s="78" t="s">
        <v>39</v>
      </c>
    </row>
    <row r="261" spans="1:6" s="20" customFormat="1" ht="20.25" customHeight="1" x14ac:dyDescent="0.25">
      <c r="A261" s="78" t="s">
        <v>40</v>
      </c>
      <c r="B261" s="30">
        <f>8241.45+159317.4+280000</f>
        <v>447558.85</v>
      </c>
      <c r="C261" s="30">
        <v>6</v>
      </c>
      <c r="D261" s="30">
        <f>80075.7+40487</f>
        <v>120562.7</v>
      </c>
      <c r="E261" s="26">
        <f t="shared" si="43"/>
        <v>568127.54999999993</v>
      </c>
      <c r="F261" s="78" t="s">
        <v>40</v>
      </c>
    </row>
    <row r="262" spans="1:6" s="20" customFormat="1" ht="20.25" customHeight="1" x14ac:dyDescent="0.25">
      <c r="A262" s="78"/>
      <c r="B262" s="30"/>
      <c r="C262" s="30"/>
      <c r="D262" s="30"/>
      <c r="E262" s="30"/>
      <c r="F262" s="78"/>
    </row>
    <row r="263" spans="1:6" s="20" customFormat="1" ht="20.25" customHeight="1" x14ac:dyDescent="0.25">
      <c r="A263" s="76">
        <v>2015</v>
      </c>
      <c r="B263" s="30"/>
      <c r="C263" s="30"/>
      <c r="D263" s="30"/>
      <c r="E263" s="26">
        <f t="shared" si="43"/>
        <v>0</v>
      </c>
      <c r="F263" s="76">
        <v>2015</v>
      </c>
    </row>
    <row r="264" spans="1:6" s="20" customFormat="1" ht="20.25" customHeight="1" x14ac:dyDescent="0.25">
      <c r="A264" s="78" t="s">
        <v>30</v>
      </c>
      <c r="B264" s="30">
        <f>7767.5+159317.4+280000</f>
        <v>447084.9</v>
      </c>
      <c r="C264" s="30">
        <v>0</v>
      </c>
      <c r="D264" s="30">
        <f>80307.45+40487</f>
        <v>120794.45</v>
      </c>
      <c r="E264" s="26">
        <f t="shared" si="43"/>
        <v>567879.35</v>
      </c>
      <c r="F264" s="78" t="s">
        <v>30</v>
      </c>
    </row>
    <row r="265" spans="1:6" s="20" customFormat="1" ht="20.25" customHeight="1" x14ac:dyDescent="0.25">
      <c r="A265" s="78" t="s">
        <v>31</v>
      </c>
      <c r="B265" s="30">
        <f>5997.3+159317.4+280000</f>
        <v>445314.69999999995</v>
      </c>
      <c r="C265" s="30">
        <v>0</v>
      </c>
      <c r="D265" s="30">
        <f>81617.6+40487</f>
        <v>122104.6</v>
      </c>
      <c r="E265" s="26">
        <f t="shared" si="43"/>
        <v>567419.29999999993</v>
      </c>
      <c r="F265" s="78" t="s">
        <v>31</v>
      </c>
    </row>
    <row r="266" spans="1:6" s="20" customFormat="1" ht="20.25" customHeight="1" x14ac:dyDescent="0.25">
      <c r="A266" s="78" t="s">
        <v>3</v>
      </c>
      <c r="B266" s="30">
        <f>5077.8+159317.4+280000</f>
        <v>444395.19999999995</v>
      </c>
      <c r="C266" s="30">
        <v>0</v>
      </c>
      <c r="D266" s="30">
        <f>82407.3+40487</f>
        <v>122894.3</v>
      </c>
      <c r="E266" s="26">
        <f t="shared" si="43"/>
        <v>567289.5</v>
      </c>
      <c r="F266" s="78" t="s">
        <v>3</v>
      </c>
    </row>
    <row r="267" spans="1:6" s="20" customFormat="1" ht="20.25" customHeight="1" x14ac:dyDescent="0.25">
      <c r="A267" s="78" t="s">
        <v>33</v>
      </c>
      <c r="B267" s="30">
        <f>5480.05+159317.4+280000</f>
        <v>444797.44999999995</v>
      </c>
      <c r="C267" s="30">
        <v>0</v>
      </c>
      <c r="D267" s="30">
        <f>82005.05+40487</f>
        <v>122492.05</v>
      </c>
      <c r="E267" s="26">
        <f t="shared" si="43"/>
        <v>567289.5</v>
      </c>
      <c r="F267" s="78" t="s">
        <v>33</v>
      </c>
    </row>
    <row r="268" spans="1:6" s="20" customFormat="1" ht="20.25" customHeight="1" x14ac:dyDescent="0.25">
      <c r="A268" s="78" t="s">
        <v>34</v>
      </c>
      <c r="B268" s="30">
        <f>5474.65+159317.4+280000</f>
        <v>444792.05</v>
      </c>
      <c r="C268" s="30">
        <v>0</v>
      </c>
      <c r="D268" s="30">
        <f>82574.1+40487</f>
        <v>123061.1</v>
      </c>
      <c r="E268" s="26">
        <f t="shared" si="43"/>
        <v>567853.15</v>
      </c>
      <c r="F268" s="78" t="s">
        <v>34</v>
      </c>
    </row>
    <row r="269" spans="1:6" s="20" customFormat="1" ht="20.25" customHeight="1" x14ac:dyDescent="0.25">
      <c r="A269" s="78" t="s">
        <v>0</v>
      </c>
      <c r="B269" s="30">
        <f>4993.45+159317.4+280000</f>
        <v>444310.85</v>
      </c>
      <c r="C269" s="30">
        <v>0</v>
      </c>
      <c r="D269" s="30">
        <f>78055.3+40487</f>
        <v>118542.3</v>
      </c>
      <c r="E269" s="26">
        <f t="shared" si="43"/>
        <v>562853.15</v>
      </c>
      <c r="F269" s="78" t="s">
        <v>0</v>
      </c>
    </row>
    <row r="270" spans="1:6" s="20" customFormat="1" ht="20.25" customHeight="1" x14ac:dyDescent="0.25">
      <c r="A270" s="78" t="s">
        <v>1</v>
      </c>
      <c r="B270" s="30">
        <f>3826.55+159317.4+280000</f>
        <v>443143.94999999995</v>
      </c>
      <c r="C270" s="30">
        <v>0</v>
      </c>
      <c r="D270" s="30">
        <f>77128.35+40487</f>
        <v>117615.35</v>
      </c>
      <c r="E270" s="26">
        <f t="shared" si="43"/>
        <v>560759.29999999993</v>
      </c>
      <c r="F270" s="78" t="s">
        <v>1</v>
      </c>
    </row>
    <row r="271" spans="1:6" s="20" customFormat="1" ht="20.25" customHeight="1" x14ac:dyDescent="0.25">
      <c r="A271" s="78" t="s">
        <v>2</v>
      </c>
      <c r="B271" s="30">
        <f>4394.15+159317.4+280000</f>
        <v>443711.55</v>
      </c>
      <c r="C271" s="30">
        <v>0</v>
      </c>
      <c r="D271" s="30">
        <f>76560.75+40487</f>
        <v>117047.75</v>
      </c>
      <c r="E271" s="26">
        <f t="shared" si="43"/>
        <v>560759.30000000005</v>
      </c>
      <c r="F271" s="78" t="s">
        <v>2</v>
      </c>
    </row>
    <row r="272" spans="1:6" s="20" customFormat="1" ht="20.25" customHeight="1" x14ac:dyDescent="0.25">
      <c r="A272" s="78" t="s">
        <v>36</v>
      </c>
      <c r="B272" s="30">
        <f>5781.05+159317.4+280000</f>
        <v>445098.44999999995</v>
      </c>
      <c r="C272" s="30">
        <v>0</v>
      </c>
      <c r="D272" s="30">
        <f>75135.25+40487</f>
        <v>115622.25</v>
      </c>
      <c r="E272" s="26">
        <f t="shared" si="43"/>
        <v>560720.69999999995</v>
      </c>
      <c r="F272" s="78" t="s">
        <v>36</v>
      </c>
    </row>
    <row r="273" spans="1:6" s="20" customFormat="1" ht="20.25" customHeight="1" x14ac:dyDescent="0.25">
      <c r="A273" s="78" t="s">
        <v>38</v>
      </c>
      <c r="B273" s="30">
        <f>6146.75+159317.4+280000</f>
        <v>445464.15</v>
      </c>
      <c r="C273" s="30">
        <v>0</v>
      </c>
      <c r="D273" s="30">
        <f>72827.65+40487</f>
        <v>113314.65</v>
      </c>
      <c r="E273" s="26">
        <f t="shared" si="43"/>
        <v>558778.80000000005</v>
      </c>
      <c r="F273" s="78" t="s">
        <v>38</v>
      </c>
    </row>
    <row r="274" spans="1:6" s="20" customFormat="1" ht="20.25" customHeight="1" x14ac:dyDescent="0.25">
      <c r="A274" s="78" t="s">
        <v>39</v>
      </c>
      <c r="B274" s="30">
        <f>5858.65+159317.4+280000</f>
        <v>445176.05</v>
      </c>
      <c r="C274" s="30">
        <v>0</v>
      </c>
      <c r="D274" s="30">
        <f>71044.9+49736.65</f>
        <v>120781.54999999999</v>
      </c>
      <c r="E274" s="26">
        <f t="shared" si="43"/>
        <v>565957.6</v>
      </c>
      <c r="F274" s="78" t="s">
        <v>39</v>
      </c>
    </row>
    <row r="275" spans="1:6" s="20" customFormat="1" ht="20.25" customHeight="1" x14ac:dyDescent="0.25">
      <c r="A275" s="78" t="s">
        <v>40</v>
      </c>
      <c r="B275" s="30">
        <f>6184.65+159317.4+280000</f>
        <v>445502.05</v>
      </c>
      <c r="C275" s="30">
        <v>0</v>
      </c>
      <c r="D275" s="30">
        <f>70535.6+56736.65</f>
        <v>127272.25</v>
      </c>
      <c r="E275" s="26">
        <f t="shared" si="43"/>
        <v>572774.30000000005</v>
      </c>
      <c r="F275" s="78" t="s">
        <v>40</v>
      </c>
    </row>
    <row r="276" spans="1:6" s="20" customFormat="1" ht="14.25" customHeight="1" x14ac:dyDescent="0.25">
      <c r="A276" s="78"/>
      <c r="B276" s="30"/>
      <c r="C276" s="30"/>
      <c r="D276" s="30"/>
      <c r="E276" s="26">
        <f t="shared" si="43"/>
        <v>0</v>
      </c>
      <c r="F276" s="75"/>
    </row>
    <row r="277" spans="1:6" s="20" customFormat="1" ht="20.25" customHeight="1" x14ac:dyDescent="0.25">
      <c r="A277" s="76">
        <v>2016</v>
      </c>
      <c r="B277" s="30"/>
      <c r="C277" s="30"/>
      <c r="D277" s="30"/>
      <c r="E277" s="26">
        <f t="shared" si="43"/>
        <v>0</v>
      </c>
      <c r="F277" s="76">
        <v>2016</v>
      </c>
    </row>
    <row r="278" spans="1:6" s="20" customFormat="1" ht="20.25" customHeight="1" x14ac:dyDescent="0.25">
      <c r="A278" s="78" t="s">
        <v>30</v>
      </c>
      <c r="B278" s="30">
        <f>5828.3+159317.4+280000</f>
        <v>445145.69999999995</v>
      </c>
      <c r="C278" s="30">
        <v>10000</v>
      </c>
      <c r="D278" s="30">
        <f>70319.2+56751.65</f>
        <v>127070.85</v>
      </c>
      <c r="E278" s="26">
        <f t="shared" si="43"/>
        <v>582216.54999999993</v>
      </c>
      <c r="F278" s="78" t="s">
        <v>30</v>
      </c>
    </row>
    <row r="279" spans="1:6" s="20" customFormat="1" ht="20.25" customHeight="1" x14ac:dyDescent="0.25">
      <c r="A279" s="78" t="s">
        <v>31</v>
      </c>
      <c r="B279" s="30">
        <f>6518.65+159317.4+280000</f>
        <v>445836.05</v>
      </c>
      <c r="C279" s="30">
        <f t="shared" ref="C279:C285" si="44">37+10000</f>
        <v>10037</v>
      </c>
      <c r="D279" s="30">
        <f>66319.45+56751.65</f>
        <v>123071.1</v>
      </c>
      <c r="E279" s="26">
        <f t="shared" si="43"/>
        <v>578944.15</v>
      </c>
      <c r="F279" s="78" t="s">
        <v>31</v>
      </c>
    </row>
    <row r="280" spans="1:6" s="20" customFormat="1" ht="20.25" customHeight="1" x14ac:dyDescent="0.25">
      <c r="A280" s="78" t="s">
        <v>3</v>
      </c>
      <c r="B280" s="30">
        <f>8208.85+159317.4+280000</f>
        <v>447526.25</v>
      </c>
      <c r="C280" s="30">
        <f t="shared" si="44"/>
        <v>10037</v>
      </c>
      <c r="D280" s="30">
        <f>61385.8+56751.65</f>
        <v>118137.45000000001</v>
      </c>
      <c r="E280" s="26">
        <f t="shared" si="43"/>
        <v>575700.69999999995</v>
      </c>
      <c r="F280" s="78" t="s">
        <v>3</v>
      </c>
    </row>
    <row r="281" spans="1:6" s="20" customFormat="1" ht="20.25" customHeight="1" x14ac:dyDescent="0.25">
      <c r="A281" s="78" t="s">
        <v>33</v>
      </c>
      <c r="B281" s="30">
        <f>10949.3+159317.4+280000</f>
        <v>450266.69999999995</v>
      </c>
      <c r="C281" s="30">
        <f t="shared" si="44"/>
        <v>10037</v>
      </c>
      <c r="D281" s="30">
        <f>56641.9+56751.65</f>
        <v>113393.55</v>
      </c>
      <c r="E281" s="26">
        <f t="shared" si="43"/>
        <v>573697.25</v>
      </c>
      <c r="F281" s="78" t="s">
        <v>33</v>
      </c>
    </row>
    <row r="282" spans="1:6" s="20" customFormat="1" ht="20.25" customHeight="1" x14ac:dyDescent="0.25">
      <c r="A282" s="78" t="s">
        <v>34</v>
      </c>
      <c r="B282" s="30">
        <f>12587.55+159317.4+280000</f>
        <v>451904.94999999995</v>
      </c>
      <c r="C282" s="30">
        <f t="shared" si="44"/>
        <v>10037</v>
      </c>
      <c r="D282" s="30">
        <f>52120.2+56751.65</f>
        <v>108871.85</v>
      </c>
      <c r="E282" s="26">
        <f t="shared" si="43"/>
        <v>570813.79999999993</v>
      </c>
      <c r="F282" s="78" t="s">
        <v>34</v>
      </c>
    </row>
    <row r="283" spans="1:6" s="20" customFormat="1" ht="20.25" customHeight="1" x14ac:dyDescent="0.25">
      <c r="A283" s="78" t="s">
        <v>0</v>
      </c>
      <c r="B283" s="30">
        <f>13633.1+159317.4+280000</f>
        <v>452950.5</v>
      </c>
      <c r="C283" s="30">
        <f t="shared" si="44"/>
        <v>10037</v>
      </c>
      <c r="D283" s="30">
        <f>49043.5+56751.65</f>
        <v>105795.15</v>
      </c>
      <c r="E283" s="26">
        <f t="shared" si="43"/>
        <v>568782.65</v>
      </c>
      <c r="F283" s="78" t="s">
        <v>0</v>
      </c>
    </row>
    <row r="284" spans="1:6" s="20" customFormat="1" ht="20.25" customHeight="1" x14ac:dyDescent="0.25">
      <c r="A284" s="78" t="s">
        <v>1</v>
      </c>
      <c r="B284" s="30">
        <f>11137.45+159317.4+280000</f>
        <v>450454.85</v>
      </c>
      <c r="C284" s="30">
        <f t="shared" si="44"/>
        <v>10037</v>
      </c>
      <c r="D284" s="30">
        <f>47920.6+56751.65</f>
        <v>104672.25</v>
      </c>
      <c r="E284" s="26">
        <f t="shared" si="43"/>
        <v>565164.1</v>
      </c>
      <c r="F284" s="78" t="s">
        <v>1</v>
      </c>
    </row>
    <row r="285" spans="1:6" s="20" customFormat="1" ht="20.25" customHeight="1" x14ac:dyDescent="0.25">
      <c r="A285" s="78" t="s">
        <v>2</v>
      </c>
      <c r="B285" s="30">
        <f>11580.3+159317.4+280000</f>
        <v>450897.69999999995</v>
      </c>
      <c r="C285" s="30">
        <f t="shared" si="44"/>
        <v>10037</v>
      </c>
      <c r="D285" s="30">
        <f>44291.5+56751.65</f>
        <v>101043.15</v>
      </c>
      <c r="E285" s="26">
        <f t="shared" si="43"/>
        <v>561977.85</v>
      </c>
      <c r="F285" s="78" t="s">
        <v>2</v>
      </c>
    </row>
    <row r="286" spans="1:6" s="20" customFormat="1" ht="20.25" customHeight="1" x14ac:dyDescent="0.25">
      <c r="A286" s="78" t="s">
        <v>36</v>
      </c>
      <c r="B286" s="30">
        <f>11112.5+159317.4+280000</f>
        <v>450429.9</v>
      </c>
      <c r="C286" s="30">
        <v>10000</v>
      </c>
      <c r="D286" s="30">
        <f>41999.7+56751.65</f>
        <v>98751.35</v>
      </c>
      <c r="E286" s="26">
        <f t="shared" si="43"/>
        <v>559181.25</v>
      </c>
      <c r="F286" s="78" t="s">
        <v>36</v>
      </c>
    </row>
    <row r="287" spans="1:6" s="20" customFormat="1" ht="20.25" customHeight="1" x14ac:dyDescent="0.25">
      <c r="A287" s="78" t="s">
        <v>38</v>
      </c>
      <c r="B287" s="30">
        <f>11652.75+159317.4+280000</f>
        <v>450970.15</v>
      </c>
      <c r="C287" s="30">
        <v>10000</v>
      </c>
      <c r="D287" s="30">
        <f>39514.1+56751.65+41071.8</f>
        <v>137337.54999999999</v>
      </c>
      <c r="E287" s="26">
        <f t="shared" si="43"/>
        <v>598307.69999999995</v>
      </c>
      <c r="F287" s="78" t="s">
        <v>38</v>
      </c>
    </row>
    <row r="288" spans="1:6" s="20" customFormat="1" ht="20.25" customHeight="1" x14ac:dyDescent="0.25">
      <c r="A288" s="78" t="s">
        <v>39</v>
      </c>
      <c r="B288" s="30">
        <f>10632.65+159317.4+280000</f>
        <v>449950.05</v>
      </c>
      <c r="C288" s="30">
        <v>10000</v>
      </c>
      <c r="D288" s="30">
        <f>38502.3+56751.65+41071.8</f>
        <v>136325.75</v>
      </c>
      <c r="E288" s="26">
        <f t="shared" si="43"/>
        <v>596275.80000000005</v>
      </c>
      <c r="F288" s="78" t="s">
        <v>39</v>
      </c>
    </row>
    <row r="289" spans="1:6" s="20" customFormat="1" ht="20.25" customHeight="1" x14ac:dyDescent="0.25">
      <c r="A289" s="78" t="s">
        <v>40</v>
      </c>
      <c r="B289" s="30">
        <f>159317.4+280000</f>
        <v>439317.4</v>
      </c>
      <c r="C289" s="30">
        <v>10000</v>
      </c>
      <c r="D289" s="30">
        <f>36578.4+56751.65+41071.8</f>
        <v>134401.85</v>
      </c>
      <c r="E289" s="26">
        <f t="shared" si="43"/>
        <v>583719.25</v>
      </c>
      <c r="F289" s="78" t="s">
        <v>40</v>
      </c>
    </row>
    <row r="290" spans="1:6" s="20" customFormat="1" ht="14.25" customHeight="1" x14ac:dyDescent="0.25">
      <c r="A290" s="75"/>
      <c r="B290" s="30"/>
      <c r="C290" s="30"/>
      <c r="D290" s="30"/>
      <c r="E290" s="26"/>
      <c r="F290" s="75"/>
    </row>
    <row r="291" spans="1:6" s="20" customFormat="1" ht="14.25" customHeight="1" x14ac:dyDescent="0.25">
      <c r="A291" s="75"/>
      <c r="B291" s="30"/>
      <c r="C291" s="30"/>
      <c r="D291" s="30"/>
      <c r="E291" s="26"/>
      <c r="F291" s="75"/>
    </row>
    <row r="292" spans="1:6" s="20" customFormat="1" ht="20.100000000000001" customHeight="1" x14ac:dyDescent="0.25">
      <c r="A292" s="89" t="s">
        <v>77</v>
      </c>
      <c r="E292" s="26"/>
      <c r="F292" s="98"/>
    </row>
    <row r="293" spans="1:6" s="20" customFormat="1" ht="20.100000000000001" customHeight="1" x14ac:dyDescent="0.25">
      <c r="A293" s="75"/>
      <c r="E293" s="26"/>
      <c r="F293" s="75"/>
    </row>
    <row r="294" spans="1:6" s="20" customFormat="1" ht="20.100000000000001" customHeight="1" x14ac:dyDescent="0.25">
      <c r="A294" s="90"/>
      <c r="E294" s="26"/>
      <c r="F294" s="75"/>
    </row>
    <row r="295" spans="1:6" x14ac:dyDescent="0.2">
      <c r="E295" s="13"/>
    </row>
    <row r="296" spans="1:6" x14ac:dyDescent="0.2">
      <c r="E296" s="13"/>
    </row>
    <row r="297" spans="1:6" x14ac:dyDescent="0.2">
      <c r="E297" s="13"/>
    </row>
    <row r="298" spans="1:6" x14ac:dyDescent="0.2">
      <c r="E298" s="13"/>
    </row>
    <row r="299" spans="1:6" x14ac:dyDescent="0.2">
      <c r="E299" s="13"/>
    </row>
    <row r="300" spans="1:6" x14ac:dyDescent="0.2">
      <c r="E300" s="13"/>
    </row>
    <row r="301" spans="1:6" x14ac:dyDescent="0.2">
      <c r="E301" s="13"/>
    </row>
    <row r="302" spans="1:6" x14ac:dyDescent="0.2">
      <c r="E302" s="13"/>
    </row>
    <row r="303" spans="1:6" x14ac:dyDescent="0.2">
      <c r="E303" s="13"/>
    </row>
    <row r="304" spans="1:6" x14ac:dyDescent="0.2">
      <c r="E304" s="13"/>
    </row>
    <row r="305" spans="1:6" x14ac:dyDescent="0.2">
      <c r="E305" s="13"/>
    </row>
    <row r="306" spans="1:6" x14ac:dyDescent="0.2">
      <c r="E306" s="13"/>
    </row>
    <row r="307" spans="1:6" x14ac:dyDescent="0.2">
      <c r="E307" s="13"/>
    </row>
    <row r="308" spans="1:6" x14ac:dyDescent="0.2">
      <c r="E308" s="13"/>
    </row>
    <row r="309" spans="1:6" x14ac:dyDescent="0.2">
      <c r="A309" s="17"/>
      <c r="B309" s="8"/>
      <c r="C309" s="8"/>
      <c r="D309" s="8"/>
      <c r="E309" s="9"/>
      <c r="F309" s="17"/>
    </row>
    <row r="310" spans="1:6" x14ac:dyDescent="0.2">
      <c r="B310" s="8"/>
      <c r="C310" s="8"/>
      <c r="D310" s="8"/>
      <c r="E310" s="8"/>
    </row>
    <row r="311" spans="1:6" x14ac:dyDescent="0.2">
      <c r="A311" s="99"/>
      <c r="B311" s="8"/>
      <c r="C311" s="8"/>
      <c r="D311" s="8"/>
      <c r="E311" s="8"/>
      <c r="F311" s="99"/>
    </row>
    <row r="312" spans="1:6" x14ac:dyDescent="0.2">
      <c r="A312" s="17"/>
      <c r="B312" s="8"/>
      <c r="C312" s="8"/>
      <c r="D312" s="8"/>
      <c r="E312" s="9"/>
      <c r="F312" s="17"/>
    </row>
    <row r="313" spans="1:6" x14ac:dyDescent="0.2">
      <c r="A313" s="17"/>
      <c r="B313" s="8"/>
      <c r="C313" s="8"/>
      <c r="D313" s="8"/>
      <c r="E313" s="9"/>
      <c r="F313" s="17"/>
    </row>
    <row r="314" spans="1:6" x14ac:dyDescent="0.2">
      <c r="A314" s="17"/>
      <c r="B314" s="8"/>
      <c r="C314" s="8"/>
      <c r="D314" s="8"/>
      <c r="E314" s="9"/>
      <c r="F314" s="17"/>
    </row>
    <row r="315" spans="1:6" x14ac:dyDescent="0.2">
      <c r="A315" s="17"/>
      <c r="B315" s="8"/>
      <c r="C315" s="8"/>
      <c r="D315" s="8"/>
      <c r="E315" s="9"/>
      <c r="F315" s="17"/>
    </row>
    <row r="316" spans="1:6" x14ac:dyDescent="0.2">
      <c r="B316" s="8"/>
      <c r="C316" s="8"/>
      <c r="D316" s="8"/>
      <c r="E316" s="8"/>
    </row>
    <row r="317" spans="1:6" x14ac:dyDescent="0.2">
      <c r="A317" s="99"/>
      <c r="B317" s="8"/>
      <c r="C317" s="8"/>
      <c r="D317" s="8"/>
      <c r="E317" s="8"/>
      <c r="F317" s="99"/>
    </row>
    <row r="318" spans="1:6" x14ac:dyDescent="0.2">
      <c r="A318" s="100"/>
      <c r="B318" s="8"/>
      <c r="C318" s="8"/>
      <c r="D318" s="8"/>
      <c r="E318" s="8"/>
      <c r="F318" s="100"/>
    </row>
    <row r="319" spans="1:6" x14ac:dyDescent="0.2">
      <c r="A319" s="100"/>
      <c r="B319" s="8"/>
      <c r="C319" s="8"/>
      <c r="D319" s="8"/>
      <c r="E319" s="8"/>
      <c r="F319" s="100"/>
    </row>
    <row r="320" spans="1:6" x14ac:dyDescent="0.2">
      <c r="A320" s="100"/>
      <c r="B320" s="8"/>
      <c r="C320" s="8"/>
      <c r="D320" s="8"/>
      <c r="E320" s="8"/>
      <c r="F320" s="100"/>
    </row>
    <row r="321" spans="1:6" x14ac:dyDescent="0.2">
      <c r="A321" s="100"/>
      <c r="B321" s="8"/>
      <c r="C321" s="8"/>
      <c r="D321" s="8"/>
      <c r="E321" s="8"/>
      <c r="F321" s="100"/>
    </row>
    <row r="322" spans="1:6" x14ac:dyDescent="0.2">
      <c r="A322" s="100"/>
      <c r="B322" s="8"/>
      <c r="C322" s="8"/>
      <c r="D322" s="8"/>
      <c r="E322" s="8"/>
      <c r="F322" s="100"/>
    </row>
    <row r="323" spans="1:6" x14ac:dyDescent="0.2">
      <c r="A323" s="100"/>
      <c r="B323" s="8"/>
      <c r="C323" s="8"/>
      <c r="D323" s="8"/>
      <c r="E323" s="8"/>
      <c r="F323" s="100"/>
    </row>
    <row r="324" spans="1:6" x14ac:dyDescent="0.2">
      <c r="A324" s="100"/>
      <c r="B324" s="8"/>
      <c r="C324" s="8"/>
      <c r="D324" s="8"/>
      <c r="E324" s="8"/>
      <c r="F324" s="100"/>
    </row>
    <row r="325" spans="1:6" x14ac:dyDescent="0.2">
      <c r="A325" s="100"/>
      <c r="B325" s="8"/>
      <c r="C325" s="8"/>
      <c r="D325" s="8"/>
      <c r="E325" s="8"/>
      <c r="F325" s="100"/>
    </row>
    <row r="326" spans="1:6" x14ac:dyDescent="0.2">
      <c r="A326" s="101"/>
      <c r="B326" s="8"/>
      <c r="C326" s="8"/>
      <c r="D326" s="8"/>
      <c r="E326" s="8"/>
      <c r="F326" s="101"/>
    </row>
    <row r="327" spans="1:6" x14ac:dyDescent="0.2">
      <c r="A327" s="102"/>
      <c r="B327" s="8"/>
      <c r="C327" s="8"/>
      <c r="D327" s="8"/>
      <c r="E327" s="8"/>
      <c r="F327" s="102"/>
    </row>
    <row r="328" spans="1:6" x14ac:dyDescent="0.2">
      <c r="B328" s="8"/>
      <c r="C328" s="8"/>
      <c r="D328" s="8"/>
      <c r="E328" s="8"/>
    </row>
    <row r="329" spans="1:6" x14ac:dyDescent="0.2">
      <c r="B329" s="8"/>
      <c r="C329" s="8"/>
      <c r="D329" s="8"/>
      <c r="E329" s="8"/>
    </row>
    <row r="330" spans="1:6" x14ac:dyDescent="0.2">
      <c r="B330" s="8"/>
      <c r="C330" s="8"/>
      <c r="D330" s="8"/>
      <c r="E330" s="8"/>
    </row>
    <row r="331" spans="1:6" x14ac:dyDescent="0.2">
      <c r="B331" s="9"/>
      <c r="C331" s="8"/>
      <c r="D331" s="9"/>
      <c r="E331" s="8"/>
    </row>
    <row r="332" spans="1:6" x14ac:dyDescent="0.2">
      <c r="B332" s="8"/>
      <c r="C332" s="8"/>
      <c r="D332" s="8"/>
      <c r="E332" s="8"/>
    </row>
    <row r="333" spans="1:6" x14ac:dyDescent="0.2">
      <c r="B333" s="8"/>
      <c r="C333" s="8"/>
      <c r="D333" s="8"/>
      <c r="E333" s="8"/>
    </row>
    <row r="334" spans="1:6" x14ac:dyDescent="0.2">
      <c r="B334" s="13"/>
      <c r="C334" s="14"/>
      <c r="D334" s="15"/>
      <c r="E334" s="8"/>
    </row>
    <row r="335" spans="1:6" x14ac:dyDescent="0.2">
      <c r="B335" s="13"/>
      <c r="C335" s="14"/>
      <c r="D335" s="15"/>
      <c r="E335" s="8"/>
    </row>
    <row r="336" spans="1:6" x14ac:dyDescent="0.2">
      <c r="B336" s="15"/>
      <c r="C336" s="15"/>
      <c r="D336" s="15"/>
      <c r="E336" s="8"/>
    </row>
    <row r="337" spans="1:6" x14ac:dyDescent="0.2">
      <c r="A337" s="103"/>
      <c r="B337" s="14"/>
      <c r="C337" s="14"/>
      <c r="D337" s="14"/>
      <c r="E337" s="9"/>
      <c r="F337" s="103"/>
    </row>
    <row r="338" spans="1:6" x14ac:dyDescent="0.2">
      <c r="A338" s="103"/>
      <c r="B338" s="14"/>
      <c r="C338" s="14"/>
      <c r="D338" s="14"/>
      <c r="E338" s="9"/>
      <c r="F338" s="103"/>
    </row>
    <row r="339" spans="1:6" x14ac:dyDescent="0.2">
      <c r="A339" s="103"/>
      <c r="B339" s="14"/>
      <c r="C339" s="14"/>
      <c r="D339" s="14"/>
      <c r="E339" s="9"/>
      <c r="F339" s="103"/>
    </row>
    <row r="340" spans="1:6" x14ac:dyDescent="0.2">
      <c r="F340" s="104"/>
    </row>
    <row r="341" spans="1:6" x14ac:dyDescent="0.2">
      <c r="A341" s="102"/>
      <c r="B341" s="7"/>
      <c r="C341" s="7"/>
      <c r="D341" s="7"/>
      <c r="E341" s="7"/>
      <c r="F341" s="102"/>
    </row>
    <row r="342" spans="1:6" x14ac:dyDescent="0.2">
      <c r="B342" s="8"/>
      <c r="C342" s="8"/>
      <c r="D342" s="8"/>
      <c r="E342" s="8"/>
    </row>
    <row r="343" spans="1:6" x14ac:dyDescent="0.2">
      <c r="B343" s="8"/>
      <c r="C343" s="8"/>
      <c r="D343" s="8"/>
      <c r="E343" s="8"/>
    </row>
    <row r="344" spans="1:6" x14ac:dyDescent="0.2">
      <c r="B344" s="8"/>
      <c r="C344" s="8"/>
      <c r="D344" s="8"/>
      <c r="E344" s="8"/>
    </row>
    <row r="345" spans="1:6" x14ac:dyDescent="0.2">
      <c r="B345" s="9"/>
      <c r="C345" s="9"/>
      <c r="D345" s="9"/>
      <c r="E345" s="8"/>
    </row>
    <row r="346" spans="1:6" x14ac:dyDescent="0.2">
      <c r="B346" s="8"/>
      <c r="C346" s="8"/>
      <c r="D346" s="8"/>
      <c r="E346" s="8"/>
    </row>
    <row r="347" spans="1:6" x14ac:dyDescent="0.2">
      <c r="B347" s="8"/>
      <c r="C347" s="8"/>
      <c r="D347" s="8"/>
      <c r="E347" s="8"/>
    </row>
    <row r="348" spans="1:6" x14ac:dyDescent="0.2">
      <c r="B348" s="4"/>
      <c r="C348" s="4"/>
      <c r="D348" s="4"/>
      <c r="E348" s="8"/>
    </row>
    <row r="349" spans="1:6" x14ac:dyDescent="0.2">
      <c r="B349" s="4"/>
      <c r="C349" s="4"/>
      <c r="D349" s="4"/>
      <c r="E349" s="8"/>
    </row>
    <row r="350" spans="1:6" x14ac:dyDescent="0.2">
      <c r="B350" s="6"/>
      <c r="C350" s="6"/>
      <c r="D350" s="6"/>
      <c r="E350" s="8"/>
    </row>
    <row r="351" spans="1:6" x14ac:dyDescent="0.2">
      <c r="D351" s="1"/>
    </row>
    <row r="352" spans="1:6" x14ac:dyDescent="0.2">
      <c r="A352" s="10"/>
      <c r="B352" s="10"/>
      <c r="C352" s="10"/>
      <c r="D352" s="11"/>
    </row>
    <row r="353" spans="1:4" x14ac:dyDescent="0.2">
      <c r="A353" s="105"/>
      <c r="B353" s="12"/>
      <c r="C353" s="12"/>
      <c r="D353" s="11"/>
    </row>
  </sheetData>
  <phoneticPr fontId="0" type="noConversion"/>
  <pageMargins left="1.14173228346457" right="0.74803149606299202" top="0.98425196850393704" bottom="0.98425196850393704" header="0.511811023622047" footer="0.511811023622047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REV &amp; EXP</vt:lpstr>
      <vt:lpstr>TBS</vt:lpstr>
      <vt:lpstr>TBBS</vt:lpstr>
      <vt:lpstr>Sheet1</vt:lpstr>
      <vt:lpstr>'REV &amp; EXP'!Print_Area</vt:lpstr>
      <vt:lpstr>TBBS!Print_Area</vt:lpstr>
      <vt:lpstr>TBS!Print_Area</vt:lpstr>
    </vt:vector>
  </TitlesOfParts>
  <Company>BANK OF SIERRA LEONE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 DEPARTMENT</dc:creator>
  <cp:lastModifiedBy>Samuel Kanu</cp:lastModifiedBy>
  <cp:lastPrinted>2013-12-12T12:16:06Z</cp:lastPrinted>
  <dcterms:created xsi:type="dcterms:W3CDTF">2000-04-26T14:27:16Z</dcterms:created>
  <dcterms:modified xsi:type="dcterms:W3CDTF">2017-06-28T10:45:09Z</dcterms:modified>
</cp:coreProperties>
</file>